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colin\Documents\Col's Stuff\EcoRich\Clients\MLA\PGS\3 Girls FBs\"/>
    </mc:Choice>
  </mc:AlternateContent>
  <xr:revisionPtr revIDLastSave="0" documentId="13_ncr:1_{22401DEE-FF37-4F5F-BE4B-8933A946EB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imple FB for GLM" sheetId="1" r:id="rId1"/>
    <sheet name="AE Tables" sheetId="3" r:id="rId2"/>
    <sheet name="DSE Tables" sheetId="5" r:id="rId3"/>
    <sheet name="Numbers to AEs Conversion" sheetId="4" r:id="rId4"/>
    <sheet name="Accessible Yield Calc" sheetId="2" r:id="rId5"/>
  </sheets>
  <definedNames>
    <definedName name="_xlnm.Print_Area" localSheetId="0">'Simple FB for GLM'!$A$1:$I$48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4" l="1"/>
  <c r="G24" i="4"/>
  <c r="G23" i="4"/>
  <c r="G22" i="4"/>
  <c r="G21" i="4"/>
  <c r="G20" i="4"/>
  <c r="G19" i="4"/>
  <c r="E19" i="4" s="1"/>
  <c r="F19" i="4" s="1"/>
  <c r="G18" i="4"/>
  <c r="E18" i="4" s="1"/>
  <c r="F18" i="4" s="1"/>
  <c r="G17" i="4"/>
  <c r="E17" i="4" s="1"/>
  <c r="F17" i="4" s="1"/>
  <c r="E25" i="4"/>
  <c r="F25" i="4" s="1"/>
  <c r="E24" i="4"/>
  <c r="F24" i="4" s="1"/>
  <c r="E23" i="4"/>
  <c r="F23" i="4" s="1"/>
  <c r="E22" i="4"/>
  <c r="F22" i="4" s="1"/>
  <c r="E21" i="4"/>
  <c r="F21" i="4" s="1"/>
  <c r="E20" i="4"/>
  <c r="F20" i="4" s="1"/>
  <c r="E15" i="4"/>
  <c r="F15" i="4" s="1"/>
  <c r="E14" i="4"/>
  <c r="F14" i="4" s="1"/>
  <c r="E13" i="4"/>
  <c r="F13" i="4" s="1"/>
  <c r="E12" i="4"/>
  <c r="F12" i="4" s="1"/>
  <c r="E11" i="4"/>
  <c r="F11" i="4" s="1"/>
  <c r="E10" i="4"/>
  <c r="F10" i="4" s="1"/>
  <c r="E9" i="4"/>
  <c r="F9" i="4" s="1"/>
  <c r="E8" i="4"/>
  <c r="F8" i="4" s="1"/>
  <c r="E7" i="4"/>
  <c r="F7" i="4" s="1"/>
  <c r="E6" i="4"/>
  <c r="F6" i="4" s="1"/>
  <c r="R36" i="1"/>
  <c r="P36" i="1"/>
  <c r="N36" i="1"/>
  <c r="L36" i="1"/>
  <c r="J36" i="1"/>
  <c r="H36" i="1"/>
  <c r="F36" i="1"/>
  <c r="R33" i="1"/>
  <c r="P33" i="1"/>
  <c r="N33" i="1"/>
  <c r="L33" i="1"/>
  <c r="J33" i="1"/>
  <c r="H33" i="1"/>
  <c r="F33" i="1"/>
  <c r="D36" i="1"/>
  <c r="D33" i="1"/>
  <c r="F3" i="1"/>
  <c r="D3" i="4"/>
  <c r="D41" i="4"/>
  <c r="R16" i="1"/>
  <c r="P16" i="1"/>
  <c r="N16" i="1"/>
  <c r="L16" i="1"/>
  <c r="J16" i="1"/>
  <c r="H16" i="1"/>
  <c r="R38" i="1"/>
  <c r="P38" i="1"/>
  <c r="N38" i="1"/>
  <c r="L38" i="1"/>
  <c r="J38" i="1"/>
  <c r="H38" i="1"/>
  <c r="R35" i="1"/>
  <c r="P35" i="1"/>
  <c r="N35" i="1"/>
  <c r="L35" i="1"/>
  <c r="J35" i="1"/>
  <c r="H35" i="1"/>
  <c r="R34" i="1"/>
  <c r="P34" i="1"/>
  <c r="N34" i="1"/>
  <c r="L34" i="1"/>
  <c r="J34" i="1"/>
  <c r="H34" i="1"/>
  <c r="F35" i="1" l="1"/>
  <c r="F41" i="4" l="1"/>
  <c r="D35" i="1"/>
  <c r="R18" i="1" l="1"/>
  <c r="P18" i="1"/>
  <c r="N18" i="1"/>
  <c r="L18" i="1"/>
  <c r="J18" i="1"/>
  <c r="H18" i="1"/>
  <c r="L7" i="2" l="1"/>
  <c r="R32" i="1" l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13" i="2" l="1"/>
  <c r="B13" i="2"/>
  <c r="F11" i="2"/>
  <c r="H11" i="2" s="1"/>
  <c r="F10" i="2"/>
  <c r="H10" i="2" s="1"/>
  <c r="F9" i="2"/>
  <c r="I9" i="2" s="1"/>
  <c r="F8" i="2"/>
  <c r="I8" i="2" s="1"/>
  <c r="F7" i="2"/>
  <c r="H7" i="2" s="1"/>
  <c r="I10" i="2" l="1"/>
  <c r="I11" i="2"/>
  <c r="I7" i="2"/>
  <c r="I13" i="2" s="1"/>
  <c r="H9" i="2"/>
  <c r="H8" i="2"/>
  <c r="H13" i="2" l="1"/>
  <c r="R14" i="1"/>
  <c r="P14" i="1"/>
  <c r="N14" i="1"/>
  <c r="L14" i="1"/>
  <c r="J14" i="1"/>
  <c r="H14" i="1"/>
  <c r="F14" i="1"/>
  <c r="D14" i="1"/>
  <c r="D18" i="1" s="1"/>
  <c r="R9" i="1"/>
  <c r="P9" i="1"/>
  <c r="N9" i="1"/>
  <c r="L9" i="1"/>
  <c r="J9" i="1"/>
  <c r="I9" i="1"/>
  <c r="H9" i="1"/>
  <c r="F9" i="1"/>
  <c r="D9" i="1"/>
  <c r="D34" i="1" l="1"/>
  <c r="D38" i="1"/>
  <c r="F18" i="1"/>
  <c r="F16" i="1"/>
  <c r="F21" i="1" s="1"/>
  <c r="F34" i="1"/>
  <c r="F38" i="1"/>
  <c r="L21" i="1"/>
  <c r="N21" i="1"/>
  <c r="N45" i="1" s="1"/>
  <c r="P21" i="1"/>
  <c r="R21" i="1"/>
  <c r="J21" i="1"/>
  <c r="H21" i="1"/>
  <c r="H45" i="1" s="1"/>
  <c r="D16" i="1"/>
  <c r="D21" i="1" s="1"/>
  <c r="F25" i="1" l="1"/>
  <c r="R47" i="1"/>
  <c r="R25" i="1"/>
  <c r="R45" i="1"/>
  <c r="P47" i="1"/>
  <c r="P25" i="1"/>
  <c r="P45" i="1"/>
  <c r="L47" i="1"/>
  <c r="L25" i="1"/>
  <c r="N47" i="1"/>
  <c r="N25" i="1"/>
  <c r="L45" i="1"/>
  <c r="J47" i="1"/>
  <c r="J25" i="1"/>
  <c r="J45" i="1"/>
  <c r="H47" i="1"/>
  <c r="H25" i="1"/>
  <c r="D47" i="1"/>
  <c r="D45" i="1"/>
  <c r="D25" i="1"/>
  <c r="L41" i="1" l="1"/>
  <c r="L43" i="1"/>
  <c r="N43" i="1"/>
  <c r="N41" i="1"/>
  <c r="R43" i="1"/>
  <c r="R41" i="1"/>
  <c r="P43" i="1"/>
  <c r="P41" i="1"/>
  <c r="J43" i="1"/>
  <c r="J41" i="1"/>
  <c r="H41" i="1"/>
  <c r="H43" i="1"/>
  <c r="D43" i="1"/>
  <c r="D41" i="1"/>
  <c r="F41" i="1"/>
  <c r="F43" i="1"/>
  <c r="F47" i="1"/>
  <c r="F4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Col &amp; Liz Paton</author>
    <author>SNEATH Roger</author>
  </authors>
  <commentList>
    <comment ref="C1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Col &amp; Liz Paton:</t>
        </r>
        <r>
          <rPr>
            <sz val="9"/>
            <color indexed="81"/>
            <rFont val="Tahoma"/>
            <family val="2"/>
          </rPr>
          <t xml:space="preserve">
Species like wiregrasses, neverfail, that are not eaten by stock.</t>
        </r>
      </text>
    </comment>
    <comment ref="C1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Col &amp; Liz Paton:
</t>
        </r>
        <r>
          <rPr>
            <sz val="9"/>
            <color indexed="81"/>
            <rFont val="Tahoma"/>
            <family val="2"/>
          </rPr>
          <t>3P pasture grown in previous seasons, is usually old, grey &amp; very unpalatable but can be used as part of the residual.</t>
        </r>
      </text>
    </comment>
    <comment ref="C2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Col &amp; Liz Paton:</t>
        </r>
        <r>
          <rPr>
            <sz val="9"/>
            <color indexed="81"/>
            <rFont val="Tahoma"/>
            <family val="2"/>
          </rPr>
          <t xml:space="preserve">
3P pasture including unpalatable 3P component</t>
        </r>
      </text>
    </comment>
    <comment ref="A25" authorId="1" shapeId="0" xr:uid="{00000000-0006-0000-0000-000004000000}">
      <text>
        <r>
          <rPr>
            <sz val="9"/>
            <color indexed="81"/>
            <rFont val="Tahoma"/>
            <family val="2"/>
          </rPr>
          <t>Available pasture will be Useful Pasture minus either Unpalatable 3Ps or Residual, whichever is larger.</t>
        </r>
      </text>
    </comment>
  </commentList>
</comments>
</file>

<file path=xl/sharedStrings.xml><?xml version="1.0" encoding="utf-8"?>
<sst xmlns="http://schemas.openxmlformats.org/spreadsheetml/2006/main" count="270" uniqueCount="175">
  <si>
    <t>Paddock 3</t>
  </si>
  <si>
    <t>Paddock 4</t>
  </si>
  <si>
    <t>Paddock 5</t>
  </si>
  <si>
    <t>A</t>
  </si>
  <si>
    <t>B</t>
  </si>
  <si>
    <t>Start Date</t>
  </si>
  <si>
    <t>C</t>
  </si>
  <si>
    <t>End Date</t>
  </si>
  <si>
    <t>D</t>
  </si>
  <si>
    <t xml:space="preserve"> = C - B</t>
  </si>
  <si>
    <t>Number of Days</t>
  </si>
  <si>
    <t>Class of Cattle</t>
  </si>
  <si>
    <t>Entry weight</t>
  </si>
  <si>
    <t>Exit weight</t>
  </si>
  <si>
    <t>E</t>
  </si>
  <si>
    <t>Adult Equivalents</t>
  </si>
  <si>
    <t>Pasture</t>
  </si>
  <si>
    <t>F</t>
  </si>
  <si>
    <t>Start Yield</t>
  </si>
  <si>
    <t>G</t>
  </si>
  <si>
    <t>Detachment (%)</t>
  </si>
  <si>
    <t>H</t>
  </si>
  <si>
    <t>J</t>
  </si>
  <si>
    <t>Unpalatable species (%)</t>
  </si>
  <si>
    <t>K</t>
  </si>
  <si>
    <t>Unpalatable 3Ps component (%)</t>
  </si>
  <si>
    <t>M</t>
  </si>
  <si>
    <t>Anticipated growth (kg/ha)</t>
  </si>
  <si>
    <t>N</t>
  </si>
  <si>
    <t>Useful Pasture (kg/ha)</t>
  </si>
  <si>
    <t>L</t>
  </si>
  <si>
    <t>Desired residual (kg/ha)</t>
  </si>
  <si>
    <t>O</t>
  </si>
  <si>
    <t>Available for grazing (kg/ha)</t>
  </si>
  <si>
    <t>Demand</t>
  </si>
  <si>
    <t>P</t>
  </si>
  <si>
    <t>Q</t>
  </si>
  <si>
    <t>Demand (kg/ha)</t>
  </si>
  <si>
    <t>Results</t>
  </si>
  <si>
    <t>How many days will pasture last with current stock numbers?</t>
  </si>
  <si>
    <t>How many AE's will paddock carry to end date?</t>
  </si>
  <si>
    <t>Pasture eaten as % of Useful Pasture</t>
  </si>
  <si>
    <t>Dry Matter Intakes (kg/AE/day)</t>
  </si>
  <si>
    <t>Paddock 6</t>
  </si>
  <si>
    <t>Paddock 7</t>
  </si>
  <si>
    <t>Paddock 8</t>
  </si>
  <si>
    <t>Paddock 2</t>
  </si>
  <si>
    <t>Forage Budget with Unpalatable 3Ps Component</t>
  </si>
  <si>
    <t>Residual Useful Pasture (kg/ha)</t>
  </si>
  <si>
    <t>Average Accessible Yield Calculator</t>
  </si>
  <si>
    <t>Paddock:</t>
  </si>
  <si>
    <t>Total Area (ha):</t>
  </si>
  <si>
    <t>Area (ha)</t>
  </si>
  <si>
    <t>% of Paddock Area</t>
  </si>
  <si>
    <t>Accessible Yield (kg/ha)</t>
  </si>
  <si>
    <t>Contribution to Accessible Paddock Yield (kg/ha)</t>
  </si>
  <si>
    <t>Average Accessible Paddock Yield (kg/ha)</t>
  </si>
  <si>
    <t>Area4</t>
  </si>
  <si>
    <t>Area5</t>
  </si>
  <si>
    <t>Airstrip</t>
  </si>
  <si>
    <t>% Unpalatable Species</t>
  </si>
  <si>
    <t>% Unpalatable 3Ps</t>
  </si>
  <si>
    <t>Unpalatable 3Ps (kg/ha)</t>
  </si>
  <si>
    <t>Flat</t>
  </si>
  <si>
    <t>Hill</t>
  </si>
  <si>
    <t>Table</t>
  </si>
  <si>
    <t>Palatable Pasture Available for Grazing (kg/ha)</t>
  </si>
  <si>
    <t>Paddock Area (ha)</t>
  </si>
  <si>
    <t>Total Number of head</t>
  </si>
  <si>
    <t xml:space="preserve"> = E x F / 100</t>
  </si>
  <si>
    <t>I</t>
  </si>
  <si>
    <t xml:space="preserve"> = (E - G) x H / 100</t>
  </si>
  <si>
    <t xml:space="preserve"> = (E - G) x J</t>
  </si>
  <si>
    <t xml:space="preserve"> = E - G - I + L</t>
  </si>
  <si>
    <t>R</t>
  </si>
  <si>
    <t>S</t>
  </si>
  <si>
    <t>Average weight</t>
  </si>
  <si>
    <t>T</t>
  </si>
  <si>
    <t>U</t>
  </si>
  <si>
    <t>V</t>
  </si>
  <si>
    <t>W</t>
  </si>
  <si>
    <t xml:space="preserve"> = V x U x D / A</t>
  </si>
  <si>
    <t xml:space="preserve"> = (O x A) / (V x U)</t>
  </si>
  <si>
    <t xml:space="preserve"> = (O x A) / (V x D)</t>
  </si>
  <si>
    <t xml:space="preserve"> = W / M x 100</t>
  </si>
  <si>
    <t xml:space="preserve"> = M - W</t>
  </si>
  <si>
    <t>Black soil</t>
  </si>
  <si>
    <t>Ridge</t>
  </si>
  <si>
    <t>Ripped red country</t>
  </si>
  <si>
    <t>Unripped red country</t>
  </si>
  <si>
    <t>AE Rating</t>
  </si>
  <si>
    <t>Cattle#</t>
  </si>
  <si>
    <t>Females 1-2*</t>
  </si>
  <si>
    <t>Females 2-3*</t>
  </si>
  <si>
    <t>Females 3-4*</t>
  </si>
  <si>
    <t>Females 4+*</t>
  </si>
  <si>
    <t>Steers &lt;1</t>
  </si>
  <si>
    <t>Steers 1-2</t>
  </si>
  <si>
    <t>Steers 2-3</t>
  </si>
  <si>
    <t>Large</t>
  </si>
  <si>
    <t>Small</t>
  </si>
  <si>
    <t>Horses</t>
  </si>
  <si>
    <t>Donkeys</t>
  </si>
  <si>
    <t>Camels</t>
  </si>
  <si>
    <t>Roos</t>
  </si>
  <si>
    <t>(25 kg Avge weight)</t>
  </si>
  <si>
    <t>AE Rating per animal</t>
  </si>
  <si>
    <t>Look up AE Tables</t>
  </si>
  <si>
    <t xml:space="preserve"> = P x T</t>
  </si>
  <si>
    <t>Daily weight gain (kg)</t>
  </si>
  <si>
    <t>Class</t>
  </si>
  <si>
    <t>Select Production Zone (H, M or L)</t>
  </si>
  <si>
    <t>Sheep*</t>
  </si>
  <si>
    <t xml:space="preserve"> = M - (N or K) *</t>
  </si>
  <si>
    <t>* whichever is the greatest figure</t>
  </si>
  <si>
    <t>Number</t>
  </si>
  <si>
    <t>Adult equivalents</t>
  </si>
  <si>
    <t>(No. x AE rating)</t>
  </si>
  <si>
    <t>Production Region</t>
  </si>
  <si>
    <t>Table for converting numbers to AEs</t>
  </si>
  <si>
    <t>Species</t>
  </si>
  <si>
    <t>Others</t>
  </si>
  <si>
    <t>Totals</t>
  </si>
  <si>
    <t>Generic Annualised Adult Equivalent Ratings</t>
  </si>
  <si>
    <t>Cattle</t>
  </si>
  <si>
    <t>The Animal Equivalent (AE) ratings represent the metabolisable energy demand of the animals relative to the standard animal, which is a 450kg bos taurus steer with zero liveweight gain.</t>
  </si>
  <si>
    <t>Low</t>
  </si>
  <si>
    <t>Moderate</t>
  </si>
  <si>
    <t>High</t>
  </si>
  <si>
    <r>
      <t>Females &lt;1</t>
    </r>
    <r>
      <rPr>
        <vertAlign val="superscript"/>
        <sz val="11"/>
        <color theme="1"/>
        <rFont val="Calibri"/>
        <family val="2"/>
        <scheme val="minor"/>
      </rPr>
      <t>#</t>
    </r>
  </si>
  <si>
    <t>Steers 3+</t>
  </si>
  <si>
    <t>Grown Bulls</t>
  </si>
  <si>
    <t>Intake Constants</t>
  </si>
  <si>
    <r>
      <rPr>
        <vertAlign val="superscript"/>
        <sz val="11"/>
        <color theme="1"/>
        <rFont val="Calibri"/>
        <family val="2"/>
        <scheme val="minor"/>
      </rPr>
      <t>#</t>
    </r>
    <r>
      <rPr>
        <sz val="11"/>
        <color theme="1"/>
        <rFont val="Calibri"/>
        <family val="2"/>
        <scheme val="minor"/>
      </rPr>
      <t xml:space="preserve"> From weaning to 1 year of age</t>
    </r>
  </si>
  <si>
    <t>Sheep &amp; Goats</t>
  </si>
  <si>
    <t>Annual AE Ratings (Merino Sheep)</t>
  </si>
  <si>
    <t>Frame Size</t>
  </si>
  <si>
    <t>Medium</t>
  </si>
  <si>
    <r>
      <t>Ewes &lt;1</t>
    </r>
    <r>
      <rPr>
        <vertAlign val="superscript"/>
        <sz val="11"/>
        <color theme="1"/>
        <rFont val="Calibri"/>
        <family val="2"/>
        <scheme val="minor"/>
      </rPr>
      <t>#</t>
    </r>
  </si>
  <si>
    <t>Ewes 1-2*</t>
  </si>
  <si>
    <t>Ewes 2-3*</t>
  </si>
  <si>
    <t>Ewes 3+*</t>
  </si>
  <si>
    <r>
      <t>Wethers &lt;1</t>
    </r>
    <r>
      <rPr>
        <vertAlign val="superscript"/>
        <sz val="11"/>
        <color theme="1"/>
        <rFont val="Calibri"/>
        <family val="2"/>
        <scheme val="minor"/>
      </rPr>
      <t>#</t>
    </r>
  </si>
  <si>
    <t>Wethers 1-2</t>
  </si>
  <si>
    <t>Wethers 2-3</t>
  </si>
  <si>
    <t>Wethers 3+</t>
  </si>
  <si>
    <t>Grown Rams</t>
  </si>
  <si>
    <t>Annual AE Ratings (Meat Sheep and Goats)</t>
  </si>
  <si>
    <t>Rangeland Goat</t>
  </si>
  <si>
    <t>Med. Sheep/ Large Goat</t>
  </si>
  <si>
    <r>
      <t>Ewes/does &lt;1</t>
    </r>
    <r>
      <rPr>
        <vertAlign val="superscript"/>
        <sz val="11"/>
        <color theme="1"/>
        <rFont val="Calibri"/>
        <family val="2"/>
        <scheme val="minor"/>
      </rPr>
      <t>#</t>
    </r>
  </si>
  <si>
    <t>Ewes/does 1-2*</t>
  </si>
  <si>
    <t>Ewes/does 2-3*</t>
  </si>
  <si>
    <t>Ewes/does 3+*</t>
  </si>
  <si>
    <r>
      <t>Wethers &lt;1</t>
    </r>
    <r>
      <rPr>
        <vertAlign val="superscript"/>
        <sz val="11"/>
        <color theme="1"/>
        <rFont val="Calibri"/>
        <family val="2"/>
        <scheme val="minor"/>
      </rPr>
      <t>#@</t>
    </r>
  </si>
  <si>
    <t>Rams/ Billys</t>
  </si>
  <si>
    <r>
      <t xml:space="preserve"> </t>
    </r>
    <r>
      <rPr>
        <vertAlign val="superscript"/>
        <sz val="11"/>
        <color theme="1"/>
        <rFont val="Calibri"/>
        <family val="2"/>
        <scheme val="minor"/>
      </rPr>
      <t>@</t>
    </r>
    <r>
      <rPr>
        <sz val="11"/>
        <color theme="1"/>
        <rFont val="Calibri"/>
        <family val="2"/>
        <scheme val="minor"/>
      </rPr>
      <t xml:space="preserve"> Add 10% to wether ratings to apply to entires (billys)</t>
    </r>
  </si>
  <si>
    <t>Generic Annualised Dry Sheep Equivalent Ratings</t>
  </si>
  <si>
    <t>The Dry Sheep Equivalent (DSE) ratings represent the metabolisable energy demand of the animals relative to the standard animal, which is a 45kg Merino wether with zero liveweight gain.</t>
  </si>
  <si>
    <t>Females &lt;1#</t>
  </si>
  <si>
    <t>Kg DM/DSE/day</t>
  </si>
  <si>
    <t>* Includes energy demand of calves or lambs from pregnancy through to weaning</t>
  </si>
  <si>
    <t>Annual DSE Ratings (Merino Sheep)</t>
  </si>
  <si>
    <t>Annual DSE Ratings (Meat Sheep and Goats)</t>
  </si>
  <si>
    <t>Large Sheep</t>
  </si>
  <si>
    <r>
      <t xml:space="preserve">The </t>
    </r>
    <r>
      <rPr>
        <b/>
        <sz val="11"/>
        <color theme="1"/>
        <rFont val="Calibri"/>
        <family val="2"/>
        <scheme val="minor"/>
      </rPr>
      <t>Intake Constant</t>
    </r>
    <r>
      <rPr>
        <sz val="11"/>
        <color theme="1"/>
        <rFont val="Calibri"/>
        <family val="2"/>
        <scheme val="minor"/>
      </rPr>
      <t xml:space="preserve"> for all sheep, goats, horses and kangaroos is 8 kg DM/AE/day</t>
    </r>
  </si>
  <si>
    <r>
      <t xml:space="preserve">The </t>
    </r>
    <r>
      <rPr>
        <b/>
        <sz val="11"/>
        <color theme="1"/>
        <rFont val="Calibri"/>
        <family val="2"/>
        <scheme val="minor"/>
      </rPr>
      <t>Intake Constant</t>
    </r>
    <r>
      <rPr>
        <sz val="11"/>
        <color theme="1"/>
        <rFont val="Calibri"/>
        <family val="2"/>
        <scheme val="minor"/>
      </rPr>
      <t xml:space="preserve"> for all sheep, goats, horses and kangaroos is 0.96 kg DM/DSE/day</t>
    </r>
  </si>
  <si>
    <t>* Includes energy demand of calves and lambs from pregnancy through to weaning</t>
  </si>
  <si>
    <t>(sheep &amp; goats)</t>
  </si>
  <si>
    <t>Meat Sheep &amp; Goats*</t>
  </si>
  <si>
    <t>Ewes &lt;1#</t>
  </si>
  <si>
    <t>Wethers &lt;1#</t>
  </si>
  <si>
    <t>*</t>
  </si>
  <si>
    <t>Please note; this spreadsheet will only work for cattle</t>
  </si>
  <si>
    <t>Jack's Pdk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</si>
</sst>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9]dd\-mmm\-yy;@"/>
    <numFmt numFmtId="165" formatCode="0.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0000FF"/>
      <name val="Arial"/>
      <family val="2"/>
    </font>
    <font>
      <sz val="11"/>
      <color rgb="FF0000FF"/>
      <name val="Arial"/>
      <family val="2"/>
    </font>
    <font>
      <sz val="11"/>
      <color rgb="FF0000FF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66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theme="4" tint="0.399975585192419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theme="0" tint="-0.499984740745262"/>
      </right>
      <top style="thin">
        <color auto="1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auto="1"/>
      </top>
      <bottom/>
      <diagonal/>
    </border>
    <border>
      <left style="thin">
        <color theme="0" tint="-0.499984740745262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auto="1"/>
      </right>
      <top/>
      <bottom/>
      <diagonal/>
    </border>
    <border>
      <left style="thin">
        <color auto="1"/>
      </left>
      <right style="thin">
        <color theme="0" tint="-0.499984740745262"/>
      </right>
      <top/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auto="1"/>
      </bottom>
      <diagonal/>
    </border>
    <border>
      <left style="thin">
        <color theme="0" tint="-0.499984740745262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0" tint="-0.499984740745262"/>
      </right>
      <top style="thin">
        <color auto="1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auto="1"/>
      </top>
      <bottom style="thin">
        <color auto="1"/>
      </bottom>
      <diagonal/>
    </border>
    <border>
      <left style="thin">
        <color theme="0" tint="-0.499984740745262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/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2" fillId="2" borderId="1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7" fillId="3" borderId="1" xfId="0" applyFont="1" applyFill="1" applyBorder="1"/>
    <xf numFmtId="0" fontId="2" fillId="2" borderId="1" xfId="0" applyFont="1" applyFill="1" applyBorder="1" applyAlignment="1">
      <alignment horizontal="left"/>
    </xf>
    <xf numFmtId="0" fontId="8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0" fontId="8" fillId="0" borderId="1" xfId="0" applyFont="1" applyBorder="1"/>
    <xf numFmtId="0" fontId="2" fillId="2" borderId="0" xfId="0" applyFont="1" applyFill="1" applyAlignment="1">
      <alignment horizontal="center"/>
    </xf>
    <xf numFmtId="0" fontId="5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7" fillId="4" borderId="1" xfId="0" applyFont="1" applyFill="1" applyBorder="1"/>
    <xf numFmtId="3" fontId="9" fillId="4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7" fillId="0" borderId="0" xfId="0" applyFont="1"/>
    <xf numFmtId="3" fontId="9" fillId="0" borderId="0" xfId="0" applyNumberFormat="1" applyFont="1" applyAlignment="1">
      <alignment horizontal="center"/>
    </xf>
    <xf numFmtId="3" fontId="5" fillId="0" borderId="0" xfId="0" applyNumberFormat="1" applyFont="1" applyAlignment="1" applyProtection="1">
      <alignment horizontal="center"/>
      <protection locked="0"/>
    </xf>
    <xf numFmtId="0" fontId="10" fillId="4" borderId="1" xfId="0" applyFont="1" applyFill="1" applyBorder="1" applyAlignment="1">
      <alignment horizontal="center"/>
    </xf>
    <xf numFmtId="0" fontId="10" fillId="4" borderId="1" xfId="0" applyFont="1" applyFill="1" applyBorder="1"/>
    <xf numFmtId="3" fontId="9" fillId="5" borderId="1" xfId="0" applyNumberFormat="1" applyFont="1" applyFill="1" applyBorder="1" applyAlignment="1">
      <alignment horizontal="center"/>
    </xf>
    <xf numFmtId="1" fontId="0" fillId="0" borderId="0" xfId="0" applyNumberFormat="1"/>
    <xf numFmtId="3" fontId="0" fillId="0" borderId="0" xfId="0" applyNumberFormat="1"/>
    <xf numFmtId="0" fontId="7" fillId="3" borderId="2" xfId="0" applyFont="1" applyFill="1" applyBorder="1"/>
    <xf numFmtId="3" fontId="5" fillId="0" borderId="1" xfId="0" applyNumberFormat="1" applyFont="1" applyBorder="1" applyAlignment="1" applyProtection="1">
      <alignment horizontal="center"/>
      <protection locked="0"/>
    </xf>
    <xf numFmtId="164" fontId="5" fillId="0" borderId="1" xfId="0" applyNumberFormat="1" applyFont="1" applyBorder="1" applyAlignment="1" applyProtection="1">
      <alignment horizontal="center"/>
      <protection locked="0"/>
    </xf>
    <xf numFmtId="0" fontId="9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8" fillId="0" borderId="2" xfId="0" applyFont="1" applyBorder="1"/>
    <xf numFmtId="9" fontId="5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1" fontId="9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13" fillId="0" borderId="0" xfId="0" applyFont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3" fillId="6" borderId="0" xfId="0" applyFont="1" applyFill="1"/>
    <xf numFmtId="0" fontId="0" fillId="6" borderId="0" xfId="0" applyFill="1"/>
    <xf numFmtId="0" fontId="2" fillId="7" borderId="1" xfId="0" applyFont="1" applyFill="1" applyBorder="1"/>
    <xf numFmtId="0" fontId="2" fillId="6" borderId="0" xfId="0" applyFont="1" applyFill="1"/>
    <xf numFmtId="0" fontId="2" fillId="6" borderId="1" xfId="0" applyFont="1" applyFill="1" applyBorder="1"/>
    <xf numFmtId="0" fontId="2" fillId="7" borderId="1" xfId="0" applyFont="1" applyFill="1" applyBorder="1" applyAlignment="1">
      <alignment horizontal="center" wrapText="1"/>
    </xf>
    <xf numFmtId="1" fontId="2" fillId="9" borderId="1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1" fontId="0" fillId="6" borderId="1" xfId="0" applyNumberFormat="1" applyFill="1" applyBorder="1" applyAlignment="1">
      <alignment horizontal="center"/>
    </xf>
    <xf numFmtId="1" fontId="14" fillId="10" borderId="1" xfId="0" applyNumberFormat="1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2" fillId="7" borderId="1" xfId="0" applyFont="1" applyFill="1" applyBorder="1" applyAlignment="1" applyProtection="1">
      <alignment horizontal="center"/>
      <protection locked="0"/>
    </xf>
    <xf numFmtId="9" fontId="0" fillId="0" borderId="1" xfId="0" applyNumberFormat="1" applyBorder="1" applyAlignment="1" applyProtection="1">
      <alignment horizontal="center"/>
      <protection locked="0"/>
    </xf>
    <xf numFmtId="3" fontId="0" fillId="10" borderId="1" xfId="0" applyNumberFormat="1" applyFill="1" applyBorder="1" applyAlignment="1">
      <alignment horizontal="center"/>
    </xf>
    <xf numFmtId="9" fontId="7" fillId="9" borderId="1" xfId="0" applyNumberFormat="1" applyFont="1" applyFill="1" applyBorder="1" applyAlignment="1">
      <alignment horizontal="center" vertical="center"/>
    </xf>
    <xf numFmtId="3" fontId="15" fillId="8" borderId="4" xfId="0" applyNumberFormat="1" applyFont="1" applyFill="1" applyBorder="1" applyAlignment="1">
      <alignment horizontal="center" vertical="center" wrapText="1"/>
    </xf>
    <xf numFmtId="3" fontId="7" fillId="11" borderId="1" xfId="0" applyNumberFormat="1" applyFont="1" applyFill="1" applyBorder="1" applyAlignment="1">
      <alignment horizontal="center" vertical="center"/>
    </xf>
    <xf numFmtId="165" fontId="16" fillId="0" borderId="1" xfId="0" applyNumberFormat="1" applyFont="1" applyBorder="1" applyAlignment="1">
      <alignment horizontal="center"/>
    </xf>
    <xf numFmtId="0" fontId="1" fillId="0" borderId="0" xfId="0" applyFont="1"/>
    <xf numFmtId="0" fontId="1" fillId="12" borderId="1" xfId="0" applyFont="1" applyFill="1" applyBorder="1" applyAlignment="1">
      <alignment horizontal="left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hidden="1"/>
    </xf>
    <xf numFmtId="2" fontId="5" fillId="0" borderId="1" xfId="0" applyNumberFormat="1" applyFont="1" applyBorder="1" applyAlignment="1">
      <alignment horizontal="center"/>
    </xf>
    <xf numFmtId="2" fontId="16" fillId="0" borderId="1" xfId="0" applyNumberFormat="1" applyFont="1" applyBorder="1" applyAlignment="1">
      <alignment horizontal="center"/>
    </xf>
    <xf numFmtId="2" fontId="0" fillId="0" borderId="0" xfId="0" applyNumberFormat="1"/>
    <xf numFmtId="0" fontId="15" fillId="0" borderId="0" xfId="0" applyFont="1"/>
    <xf numFmtId="0" fontId="0" fillId="0" borderId="1" xfId="0" applyBorder="1"/>
    <xf numFmtId="0" fontId="1" fillId="0" borderId="1" xfId="0" applyFont="1" applyBorder="1"/>
    <xf numFmtId="0" fontId="0" fillId="0" borderId="1" xfId="0" applyBorder="1" applyProtection="1">
      <protection locked="0"/>
    </xf>
    <xf numFmtId="0" fontId="0" fillId="0" borderId="6" xfId="0" applyBorder="1"/>
    <xf numFmtId="0" fontId="0" fillId="0" borderId="5" xfId="0" applyBorder="1"/>
    <xf numFmtId="0" fontId="0" fillId="0" borderId="6" xfId="0" applyBorder="1" applyProtection="1">
      <protection locked="0"/>
    </xf>
    <xf numFmtId="0" fontId="1" fillId="0" borderId="7" xfId="0" applyFont="1" applyBorder="1"/>
    <xf numFmtId="0" fontId="1" fillId="0" borderId="8" xfId="0" applyFont="1" applyBorder="1"/>
    <xf numFmtId="0" fontId="0" fillId="0" borderId="8" xfId="0" applyBorder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4" xfId="0" applyFont="1" applyBorder="1"/>
    <xf numFmtId="0" fontId="0" fillId="0" borderId="13" xfId="0" applyBorder="1"/>
    <xf numFmtId="0" fontId="0" fillId="0" borderId="14" xfId="0" applyBorder="1"/>
    <xf numFmtId="0" fontId="0" fillId="0" borderId="4" xfId="0" applyBorder="1"/>
    <xf numFmtId="0" fontId="0" fillId="0" borderId="15" xfId="0" applyBorder="1"/>
    <xf numFmtId="0" fontId="1" fillId="0" borderId="16" xfId="0" applyFont="1" applyBorder="1"/>
    <xf numFmtId="0" fontId="0" fillId="0" borderId="17" xfId="0" applyBorder="1"/>
    <xf numFmtId="0" fontId="1" fillId="0" borderId="18" xfId="0" applyFont="1" applyBorder="1"/>
    <xf numFmtId="0" fontId="0" fillId="0" borderId="19" xfId="0" applyBorder="1"/>
    <xf numFmtId="0" fontId="17" fillId="0" borderId="0" xfId="0" applyFont="1"/>
    <xf numFmtId="0" fontId="0" fillId="0" borderId="0" xfId="0" applyAlignment="1">
      <alignment horizontal="left" wrapText="1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2" fontId="0" fillId="0" borderId="20" xfId="0" applyNumberFormat="1" applyBorder="1"/>
    <xf numFmtId="2" fontId="0" fillId="0" borderId="21" xfId="0" applyNumberFormat="1" applyBorder="1"/>
    <xf numFmtId="2" fontId="0" fillId="0" borderId="22" xfId="0" applyNumberFormat="1" applyBorder="1"/>
    <xf numFmtId="0" fontId="0" fillId="0" borderId="23" xfId="0" applyBorder="1"/>
    <xf numFmtId="2" fontId="0" fillId="0" borderId="24" xfId="0" applyNumberFormat="1" applyBorder="1"/>
    <xf numFmtId="2" fontId="0" fillId="0" borderId="25" xfId="0" applyNumberFormat="1" applyBorder="1"/>
    <xf numFmtId="2" fontId="0" fillId="0" borderId="26" xfId="0" applyNumberFormat="1" applyBorder="1"/>
    <xf numFmtId="2" fontId="0" fillId="0" borderId="27" xfId="0" applyNumberFormat="1" applyBorder="1"/>
    <xf numFmtId="2" fontId="0" fillId="0" borderId="28" xfId="0" applyNumberFormat="1" applyBorder="1"/>
    <xf numFmtId="2" fontId="0" fillId="0" borderId="29" xfId="0" applyNumberFormat="1" applyBorder="1"/>
    <xf numFmtId="2" fontId="0" fillId="0" borderId="30" xfId="0" applyNumberFormat="1" applyBorder="1"/>
    <xf numFmtId="2" fontId="0" fillId="0" borderId="31" xfId="0" applyNumberFormat="1" applyBorder="1"/>
    <xf numFmtId="2" fontId="0" fillId="0" borderId="32" xfId="0" applyNumberFormat="1" applyBorder="1"/>
    <xf numFmtId="0" fontId="1" fillId="0" borderId="3" xfId="0" applyFont="1" applyBorder="1"/>
    <xf numFmtId="0" fontId="0" fillId="0" borderId="0" xfId="0" applyAlignment="1">
      <alignment horizontal="right"/>
    </xf>
    <xf numFmtId="0" fontId="1" fillId="0" borderId="33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1" fillId="0" borderId="21" xfId="0" applyFont="1" applyBorder="1" applyAlignment="1">
      <alignment wrapText="1"/>
    </xf>
    <xf numFmtId="0" fontId="1" fillId="0" borderId="22" xfId="0" applyFont="1" applyBorder="1" applyAlignment="1">
      <alignment wrapText="1"/>
    </xf>
    <xf numFmtId="0" fontId="0" fillId="0" borderId="2" xfId="0" applyBorder="1"/>
    <xf numFmtId="0" fontId="1" fillId="0" borderId="5" xfId="0" applyFont="1" applyBorder="1"/>
    <xf numFmtId="165" fontId="0" fillId="0" borderId="5" xfId="0" applyNumberFormat="1" applyBorder="1"/>
    <xf numFmtId="165" fontId="0" fillId="0" borderId="23" xfId="0" applyNumberFormat="1" applyBorder="1"/>
    <xf numFmtId="165" fontId="0" fillId="0" borderId="6" xfId="0" applyNumberFormat="1" applyBorder="1"/>
    <xf numFmtId="165" fontId="0" fillId="0" borderId="1" xfId="0" applyNumberFormat="1" applyBorder="1"/>
    <xf numFmtId="0" fontId="0" fillId="0" borderId="36" xfId="0" applyBorder="1"/>
    <xf numFmtId="165" fontId="0" fillId="0" borderId="20" xfId="0" applyNumberFormat="1" applyBorder="1"/>
    <xf numFmtId="165" fontId="0" fillId="0" borderId="21" xfId="0" applyNumberFormat="1" applyBorder="1"/>
    <xf numFmtId="165" fontId="0" fillId="0" borderId="22" xfId="0" applyNumberFormat="1" applyBorder="1"/>
    <xf numFmtId="165" fontId="0" fillId="0" borderId="24" xfId="0" applyNumberFormat="1" applyBorder="1"/>
    <xf numFmtId="165" fontId="0" fillId="0" borderId="25" xfId="0" applyNumberFormat="1" applyBorder="1"/>
    <xf numFmtId="165" fontId="0" fillId="0" borderId="26" xfId="0" applyNumberFormat="1" applyBorder="1"/>
    <xf numFmtId="165" fontId="0" fillId="0" borderId="27" xfId="0" applyNumberFormat="1" applyBorder="1"/>
    <xf numFmtId="165" fontId="0" fillId="0" borderId="28" xfId="0" applyNumberFormat="1" applyBorder="1"/>
    <xf numFmtId="165" fontId="0" fillId="0" borderId="29" xfId="0" applyNumberFormat="1" applyBorder="1"/>
    <xf numFmtId="165" fontId="0" fillId="0" borderId="31" xfId="0" applyNumberFormat="1" applyBorder="1"/>
    <xf numFmtId="165" fontId="0" fillId="0" borderId="32" xfId="0" applyNumberFormat="1" applyBorder="1"/>
    <xf numFmtId="165" fontId="0" fillId="0" borderId="0" xfId="0" applyNumberFormat="1"/>
    <xf numFmtId="0" fontId="0" fillId="0" borderId="0" xfId="0" applyAlignment="1">
      <alignment wrapText="1"/>
    </xf>
    <xf numFmtId="0" fontId="1" fillId="0" borderId="13" xfId="0" applyFont="1" applyBorder="1"/>
    <xf numFmtId="0" fontId="1" fillId="0" borderId="37" xfId="0" applyFont="1" applyBorder="1"/>
    <xf numFmtId="0" fontId="0" fillId="0" borderId="38" xfId="0" applyBorder="1"/>
    <xf numFmtId="0" fontId="0" fillId="0" borderId="39" xfId="0" applyBorder="1"/>
    <xf numFmtId="1" fontId="1" fillId="0" borderId="1" xfId="0" applyNumberFormat="1" applyFont="1" applyBorder="1"/>
    <xf numFmtId="0" fontId="0" fillId="0" borderId="1" xfId="0" applyBorder="1" applyAlignment="1">
      <alignment horizontal="right"/>
    </xf>
    <xf numFmtId="0" fontId="0" fillId="13" borderId="14" xfId="0" applyFill="1" applyBorder="1"/>
    <xf numFmtId="0" fontId="0" fillId="13" borderId="4" xfId="0" applyFill="1" applyBorder="1"/>
    <xf numFmtId="2" fontId="0" fillId="0" borderId="6" xfId="0" applyNumberFormat="1" applyBorder="1"/>
    <xf numFmtId="2" fontId="0" fillId="0" borderId="1" xfId="0" applyNumberFormat="1" applyBorder="1"/>
    <xf numFmtId="1" fontId="0" fillId="0" borderId="6" xfId="0" applyNumberFormat="1" applyBorder="1"/>
    <xf numFmtId="0" fontId="0" fillId="0" borderId="4" xfId="0" applyBorder="1" applyProtection="1">
      <protection locked="0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" fillId="0" borderId="1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15" fillId="8" borderId="2" xfId="0" applyFont="1" applyFill="1" applyBorder="1" applyAlignment="1">
      <alignment horizontal="center" vertical="center" wrapText="1"/>
    </xf>
    <xf numFmtId="0" fontId="15" fillId="8" borderId="3" xfId="0" applyFont="1" applyFill="1" applyBorder="1" applyAlignment="1">
      <alignment horizontal="center" vertical="center" wrapText="1"/>
    </xf>
    <xf numFmtId="0" fontId="15" fillId="8" borderId="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  <color rgb="FFFF66FF"/>
      <color rgb="FFFF00FF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  <pageSetUpPr fitToPage="1"/>
  </sheetPr>
  <dimension ref="A1:R48"/>
  <sheetViews>
    <sheetView tabSelected="1" zoomScaleNormal="100" workbookViewId="0">
      <pane xSplit="3" ySplit="4" topLeftCell="D5" activePane="bottomRight" state="frozen"/>
      <selection pane="topRight" activeCell="D1" sqref="D1"/>
      <selection pane="bottomLeft" activeCell="A3" sqref="A3"/>
      <selection pane="bottomRight" activeCell="D31" sqref="D31"/>
    </sheetView>
  </sheetViews>
  <sheetFormatPr defaultRowHeight="14.4" x14ac:dyDescent="0.3"/>
  <cols>
    <col min="1" max="1" width="4.33203125" style="1" customWidth="1"/>
    <col min="2" max="2" width="18.88671875" style="2" customWidth="1"/>
    <col min="3" max="3" width="35.44140625" style="3" customWidth="1"/>
    <col min="4" max="4" width="14.6640625" style="13" customWidth="1"/>
    <col min="5" max="5" width="2" customWidth="1"/>
    <col min="6" max="6" width="14.6640625" style="3" customWidth="1"/>
    <col min="7" max="7" width="2.109375" customWidth="1"/>
    <col min="8" max="8" width="14.6640625" style="3" customWidth="1"/>
    <col min="9" max="9" width="2.109375" customWidth="1"/>
    <col min="10" max="10" width="14.6640625" style="3" customWidth="1"/>
    <col min="11" max="11" width="2.109375" customWidth="1"/>
    <col min="12" max="12" width="14.6640625" style="3" customWidth="1"/>
    <col min="13" max="13" width="2.33203125" customWidth="1"/>
    <col min="14" max="14" width="14.6640625" style="3" customWidth="1"/>
    <col min="15" max="15" width="2" customWidth="1"/>
    <col min="16" max="16" width="14.6640625" style="3" customWidth="1"/>
    <col min="17" max="17" width="2" customWidth="1"/>
    <col min="18" max="18" width="14.6640625" style="3" customWidth="1"/>
    <col min="256" max="256" width="5.6640625" customWidth="1"/>
    <col min="257" max="257" width="3.109375" customWidth="1"/>
    <col min="258" max="258" width="29.33203125" customWidth="1"/>
    <col min="259" max="259" width="14.6640625" customWidth="1"/>
    <col min="260" max="260" width="12" customWidth="1"/>
    <col min="261" max="261" width="2.109375" customWidth="1"/>
    <col min="262" max="262" width="21" customWidth="1"/>
    <col min="512" max="512" width="5.6640625" customWidth="1"/>
    <col min="513" max="513" width="3.109375" customWidth="1"/>
    <col min="514" max="514" width="29.33203125" customWidth="1"/>
    <col min="515" max="515" width="14.6640625" customWidth="1"/>
    <col min="516" max="516" width="12" customWidth="1"/>
    <col min="517" max="517" width="2.109375" customWidth="1"/>
    <col min="518" max="518" width="21" customWidth="1"/>
    <col min="768" max="768" width="5.6640625" customWidth="1"/>
    <col min="769" max="769" width="3.109375" customWidth="1"/>
    <col min="770" max="770" width="29.33203125" customWidth="1"/>
    <col min="771" max="771" width="14.6640625" customWidth="1"/>
    <col min="772" max="772" width="12" customWidth="1"/>
    <col min="773" max="773" width="2.109375" customWidth="1"/>
    <col min="774" max="774" width="21" customWidth="1"/>
    <col min="1024" max="1024" width="5.6640625" customWidth="1"/>
    <col min="1025" max="1025" width="3.109375" customWidth="1"/>
    <col min="1026" max="1026" width="29.33203125" customWidth="1"/>
    <col min="1027" max="1027" width="14.6640625" customWidth="1"/>
    <col min="1028" max="1028" width="12" customWidth="1"/>
    <col min="1029" max="1029" width="2.109375" customWidth="1"/>
    <col min="1030" max="1030" width="21" customWidth="1"/>
    <col min="1280" max="1280" width="5.6640625" customWidth="1"/>
    <col min="1281" max="1281" width="3.109375" customWidth="1"/>
    <col min="1282" max="1282" width="29.33203125" customWidth="1"/>
    <col min="1283" max="1283" width="14.6640625" customWidth="1"/>
    <col min="1284" max="1284" width="12" customWidth="1"/>
    <col min="1285" max="1285" width="2.109375" customWidth="1"/>
    <col min="1286" max="1286" width="21" customWidth="1"/>
    <col min="1536" max="1536" width="5.6640625" customWidth="1"/>
    <col min="1537" max="1537" width="3.109375" customWidth="1"/>
    <col min="1538" max="1538" width="29.33203125" customWidth="1"/>
    <col min="1539" max="1539" width="14.6640625" customWidth="1"/>
    <col min="1540" max="1540" width="12" customWidth="1"/>
    <col min="1541" max="1541" width="2.109375" customWidth="1"/>
    <col min="1542" max="1542" width="21" customWidth="1"/>
    <col min="1792" max="1792" width="5.6640625" customWidth="1"/>
    <col min="1793" max="1793" width="3.109375" customWidth="1"/>
    <col min="1794" max="1794" width="29.33203125" customWidth="1"/>
    <col min="1795" max="1795" width="14.6640625" customWidth="1"/>
    <col min="1796" max="1796" width="12" customWidth="1"/>
    <col min="1797" max="1797" width="2.109375" customWidth="1"/>
    <col min="1798" max="1798" width="21" customWidth="1"/>
    <col min="2048" max="2048" width="5.6640625" customWidth="1"/>
    <col min="2049" max="2049" width="3.109375" customWidth="1"/>
    <col min="2050" max="2050" width="29.33203125" customWidth="1"/>
    <col min="2051" max="2051" width="14.6640625" customWidth="1"/>
    <col min="2052" max="2052" width="12" customWidth="1"/>
    <col min="2053" max="2053" width="2.109375" customWidth="1"/>
    <col min="2054" max="2054" width="21" customWidth="1"/>
    <col min="2304" max="2304" width="5.6640625" customWidth="1"/>
    <col min="2305" max="2305" width="3.109375" customWidth="1"/>
    <col min="2306" max="2306" width="29.33203125" customWidth="1"/>
    <col min="2307" max="2307" width="14.6640625" customWidth="1"/>
    <col min="2308" max="2308" width="12" customWidth="1"/>
    <col min="2309" max="2309" width="2.109375" customWidth="1"/>
    <col min="2310" max="2310" width="21" customWidth="1"/>
    <col min="2560" max="2560" width="5.6640625" customWidth="1"/>
    <col min="2561" max="2561" width="3.109375" customWidth="1"/>
    <col min="2562" max="2562" width="29.33203125" customWidth="1"/>
    <col min="2563" max="2563" width="14.6640625" customWidth="1"/>
    <col min="2564" max="2564" width="12" customWidth="1"/>
    <col min="2565" max="2565" width="2.109375" customWidth="1"/>
    <col min="2566" max="2566" width="21" customWidth="1"/>
    <col min="2816" max="2816" width="5.6640625" customWidth="1"/>
    <col min="2817" max="2817" width="3.109375" customWidth="1"/>
    <col min="2818" max="2818" width="29.33203125" customWidth="1"/>
    <col min="2819" max="2819" width="14.6640625" customWidth="1"/>
    <col min="2820" max="2820" width="12" customWidth="1"/>
    <col min="2821" max="2821" width="2.109375" customWidth="1"/>
    <col min="2822" max="2822" width="21" customWidth="1"/>
    <col min="3072" max="3072" width="5.6640625" customWidth="1"/>
    <col min="3073" max="3073" width="3.109375" customWidth="1"/>
    <col min="3074" max="3074" width="29.33203125" customWidth="1"/>
    <col min="3075" max="3075" width="14.6640625" customWidth="1"/>
    <col min="3076" max="3076" width="12" customWidth="1"/>
    <col min="3077" max="3077" width="2.109375" customWidth="1"/>
    <col min="3078" max="3078" width="21" customWidth="1"/>
    <col min="3328" max="3328" width="5.6640625" customWidth="1"/>
    <col min="3329" max="3329" width="3.109375" customWidth="1"/>
    <col min="3330" max="3330" width="29.33203125" customWidth="1"/>
    <col min="3331" max="3331" width="14.6640625" customWidth="1"/>
    <col min="3332" max="3332" width="12" customWidth="1"/>
    <col min="3333" max="3333" width="2.109375" customWidth="1"/>
    <col min="3334" max="3334" width="21" customWidth="1"/>
    <col min="3584" max="3584" width="5.6640625" customWidth="1"/>
    <col min="3585" max="3585" width="3.109375" customWidth="1"/>
    <col min="3586" max="3586" width="29.33203125" customWidth="1"/>
    <col min="3587" max="3587" width="14.6640625" customWidth="1"/>
    <col min="3588" max="3588" width="12" customWidth="1"/>
    <col min="3589" max="3589" width="2.109375" customWidth="1"/>
    <col min="3590" max="3590" width="21" customWidth="1"/>
    <col min="3840" max="3840" width="5.6640625" customWidth="1"/>
    <col min="3841" max="3841" width="3.109375" customWidth="1"/>
    <col min="3842" max="3842" width="29.33203125" customWidth="1"/>
    <col min="3843" max="3843" width="14.6640625" customWidth="1"/>
    <col min="3844" max="3844" width="12" customWidth="1"/>
    <col min="3845" max="3845" width="2.109375" customWidth="1"/>
    <col min="3846" max="3846" width="21" customWidth="1"/>
    <col min="4096" max="4096" width="5.6640625" customWidth="1"/>
    <col min="4097" max="4097" width="3.109375" customWidth="1"/>
    <col min="4098" max="4098" width="29.33203125" customWidth="1"/>
    <col min="4099" max="4099" width="14.6640625" customWidth="1"/>
    <col min="4100" max="4100" width="12" customWidth="1"/>
    <col min="4101" max="4101" width="2.109375" customWidth="1"/>
    <col min="4102" max="4102" width="21" customWidth="1"/>
    <col min="4352" max="4352" width="5.6640625" customWidth="1"/>
    <col min="4353" max="4353" width="3.109375" customWidth="1"/>
    <col min="4354" max="4354" width="29.33203125" customWidth="1"/>
    <col min="4355" max="4355" width="14.6640625" customWidth="1"/>
    <col min="4356" max="4356" width="12" customWidth="1"/>
    <col min="4357" max="4357" width="2.109375" customWidth="1"/>
    <col min="4358" max="4358" width="21" customWidth="1"/>
    <col min="4608" max="4608" width="5.6640625" customWidth="1"/>
    <col min="4609" max="4609" width="3.109375" customWidth="1"/>
    <col min="4610" max="4610" width="29.33203125" customWidth="1"/>
    <col min="4611" max="4611" width="14.6640625" customWidth="1"/>
    <col min="4612" max="4612" width="12" customWidth="1"/>
    <col min="4613" max="4613" width="2.109375" customWidth="1"/>
    <col min="4614" max="4614" width="21" customWidth="1"/>
    <col min="4864" max="4864" width="5.6640625" customWidth="1"/>
    <col min="4865" max="4865" width="3.109375" customWidth="1"/>
    <col min="4866" max="4866" width="29.33203125" customWidth="1"/>
    <col min="4867" max="4867" width="14.6640625" customWidth="1"/>
    <col min="4868" max="4868" width="12" customWidth="1"/>
    <col min="4869" max="4869" width="2.109375" customWidth="1"/>
    <col min="4870" max="4870" width="21" customWidth="1"/>
    <col min="5120" max="5120" width="5.6640625" customWidth="1"/>
    <col min="5121" max="5121" width="3.109375" customWidth="1"/>
    <col min="5122" max="5122" width="29.33203125" customWidth="1"/>
    <col min="5123" max="5123" width="14.6640625" customWidth="1"/>
    <col min="5124" max="5124" width="12" customWidth="1"/>
    <col min="5125" max="5125" width="2.109375" customWidth="1"/>
    <col min="5126" max="5126" width="21" customWidth="1"/>
    <col min="5376" max="5376" width="5.6640625" customWidth="1"/>
    <col min="5377" max="5377" width="3.109375" customWidth="1"/>
    <col min="5378" max="5378" width="29.33203125" customWidth="1"/>
    <col min="5379" max="5379" width="14.6640625" customWidth="1"/>
    <col min="5380" max="5380" width="12" customWidth="1"/>
    <col min="5381" max="5381" width="2.109375" customWidth="1"/>
    <col min="5382" max="5382" width="21" customWidth="1"/>
    <col min="5632" max="5632" width="5.6640625" customWidth="1"/>
    <col min="5633" max="5633" width="3.109375" customWidth="1"/>
    <col min="5634" max="5634" width="29.33203125" customWidth="1"/>
    <col min="5635" max="5635" width="14.6640625" customWidth="1"/>
    <col min="5636" max="5636" width="12" customWidth="1"/>
    <col min="5637" max="5637" width="2.109375" customWidth="1"/>
    <col min="5638" max="5638" width="21" customWidth="1"/>
    <col min="5888" max="5888" width="5.6640625" customWidth="1"/>
    <col min="5889" max="5889" width="3.109375" customWidth="1"/>
    <col min="5890" max="5890" width="29.33203125" customWidth="1"/>
    <col min="5891" max="5891" width="14.6640625" customWidth="1"/>
    <col min="5892" max="5892" width="12" customWidth="1"/>
    <col min="5893" max="5893" width="2.109375" customWidth="1"/>
    <col min="5894" max="5894" width="21" customWidth="1"/>
    <col min="6144" max="6144" width="5.6640625" customWidth="1"/>
    <col min="6145" max="6145" width="3.109375" customWidth="1"/>
    <col min="6146" max="6146" width="29.33203125" customWidth="1"/>
    <col min="6147" max="6147" width="14.6640625" customWidth="1"/>
    <col min="6148" max="6148" width="12" customWidth="1"/>
    <col min="6149" max="6149" width="2.109375" customWidth="1"/>
    <col min="6150" max="6150" width="21" customWidth="1"/>
    <col min="6400" max="6400" width="5.6640625" customWidth="1"/>
    <col min="6401" max="6401" width="3.109375" customWidth="1"/>
    <col min="6402" max="6402" width="29.33203125" customWidth="1"/>
    <col min="6403" max="6403" width="14.6640625" customWidth="1"/>
    <col min="6404" max="6404" width="12" customWidth="1"/>
    <col min="6405" max="6405" width="2.109375" customWidth="1"/>
    <col min="6406" max="6406" width="21" customWidth="1"/>
    <col min="6656" max="6656" width="5.6640625" customWidth="1"/>
    <col min="6657" max="6657" width="3.109375" customWidth="1"/>
    <col min="6658" max="6658" width="29.33203125" customWidth="1"/>
    <col min="6659" max="6659" width="14.6640625" customWidth="1"/>
    <col min="6660" max="6660" width="12" customWidth="1"/>
    <col min="6661" max="6661" width="2.109375" customWidth="1"/>
    <col min="6662" max="6662" width="21" customWidth="1"/>
    <col min="6912" max="6912" width="5.6640625" customWidth="1"/>
    <col min="6913" max="6913" width="3.109375" customWidth="1"/>
    <col min="6914" max="6914" width="29.33203125" customWidth="1"/>
    <col min="6915" max="6915" width="14.6640625" customWidth="1"/>
    <col min="6916" max="6916" width="12" customWidth="1"/>
    <col min="6917" max="6917" width="2.109375" customWidth="1"/>
    <col min="6918" max="6918" width="21" customWidth="1"/>
    <col min="7168" max="7168" width="5.6640625" customWidth="1"/>
    <col min="7169" max="7169" width="3.109375" customWidth="1"/>
    <col min="7170" max="7170" width="29.33203125" customWidth="1"/>
    <col min="7171" max="7171" width="14.6640625" customWidth="1"/>
    <col min="7172" max="7172" width="12" customWidth="1"/>
    <col min="7173" max="7173" width="2.109375" customWidth="1"/>
    <col min="7174" max="7174" width="21" customWidth="1"/>
    <col min="7424" max="7424" width="5.6640625" customWidth="1"/>
    <col min="7425" max="7425" width="3.109375" customWidth="1"/>
    <col min="7426" max="7426" width="29.33203125" customWidth="1"/>
    <col min="7427" max="7427" width="14.6640625" customWidth="1"/>
    <col min="7428" max="7428" width="12" customWidth="1"/>
    <col min="7429" max="7429" width="2.109375" customWidth="1"/>
    <col min="7430" max="7430" width="21" customWidth="1"/>
    <col min="7680" max="7680" width="5.6640625" customWidth="1"/>
    <col min="7681" max="7681" width="3.109375" customWidth="1"/>
    <col min="7682" max="7682" width="29.33203125" customWidth="1"/>
    <col min="7683" max="7683" width="14.6640625" customWidth="1"/>
    <col min="7684" max="7684" width="12" customWidth="1"/>
    <col min="7685" max="7685" width="2.109375" customWidth="1"/>
    <col min="7686" max="7686" width="21" customWidth="1"/>
    <col min="7936" max="7936" width="5.6640625" customWidth="1"/>
    <col min="7937" max="7937" width="3.109375" customWidth="1"/>
    <col min="7938" max="7938" width="29.33203125" customWidth="1"/>
    <col min="7939" max="7939" width="14.6640625" customWidth="1"/>
    <col min="7940" max="7940" width="12" customWidth="1"/>
    <col min="7941" max="7941" width="2.109375" customWidth="1"/>
    <col min="7942" max="7942" width="21" customWidth="1"/>
    <col min="8192" max="8192" width="5.6640625" customWidth="1"/>
    <col min="8193" max="8193" width="3.109375" customWidth="1"/>
    <col min="8194" max="8194" width="29.33203125" customWidth="1"/>
    <col min="8195" max="8195" width="14.6640625" customWidth="1"/>
    <col min="8196" max="8196" width="12" customWidth="1"/>
    <col min="8197" max="8197" width="2.109375" customWidth="1"/>
    <col min="8198" max="8198" width="21" customWidth="1"/>
    <col min="8448" max="8448" width="5.6640625" customWidth="1"/>
    <col min="8449" max="8449" width="3.109375" customWidth="1"/>
    <col min="8450" max="8450" width="29.33203125" customWidth="1"/>
    <col min="8451" max="8451" width="14.6640625" customWidth="1"/>
    <col min="8452" max="8452" width="12" customWidth="1"/>
    <col min="8453" max="8453" width="2.109375" customWidth="1"/>
    <col min="8454" max="8454" width="21" customWidth="1"/>
    <col min="8704" max="8704" width="5.6640625" customWidth="1"/>
    <col min="8705" max="8705" width="3.109375" customWidth="1"/>
    <col min="8706" max="8706" width="29.33203125" customWidth="1"/>
    <col min="8707" max="8707" width="14.6640625" customWidth="1"/>
    <col min="8708" max="8708" width="12" customWidth="1"/>
    <col min="8709" max="8709" width="2.109375" customWidth="1"/>
    <col min="8710" max="8710" width="21" customWidth="1"/>
    <col min="8960" max="8960" width="5.6640625" customWidth="1"/>
    <col min="8961" max="8961" width="3.109375" customWidth="1"/>
    <col min="8962" max="8962" width="29.33203125" customWidth="1"/>
    <col min="8963" max="8963" width="14.6640625" customWidth="1"/>
    <col min="8964" max="8964" width="12" customWidth="1"/>
    <col min="8965" max="8965" width="2.109375" customWidth="1"/>
    <col min="8966" max="8966" width="21" customWidth="1"/>
    <col min="9216" max="9216" width="5.6640625" customWidth="1"/>
    <col min="9217" max="9217" width="3.109375" customWidth="1"/>
    <col min="9218" max="9218" width="29.33203125" customWidth="1"/>
    <col min="9219" max="9219" width="14.6640625" customWidth="1"/>
    <col min="9220" max="9220" width="12" customWidth="1"/>
    <col min="9221" max="9221" width="2.109375" customWidth="1"/>
    <col min="9222" max="9222" width="21" customWidth="1"/>
    <col min="9472" max="9472" width="5.6640625" customWidth="1"/>
    <col min="9473" max="9473" width="3.109375" customWidth="1"/>
    <col min="9474" max="9474" width="29.33203125" customWidth="1"/>
    <col min="9475" max="9475" width="14.6640625" customWidth="1"/>
    <col min="9476" max="9476" width="12" customWidth="1"/>
    <col min="9477" max="9477" width="2.109375" customWidth="1"/>
    <col min="9478" max="9478" width="21" customWidth="1"/>
    <col min="9728" max="9728" width="5.6640625" customWidth="1"/>
    <col min="9729" max="9729" width="3.109375" customWidth="1"/>
    <col min="9730" max="9730" width="29.33203125" customWidth="1"/>
    <col min="9731" max="9731" width="14.6640625" customWidth="1"/>
    <col min="9732" max="9732" width="12" customWidth="1"/>
    <col min="9733" max="9733" width="2.109375" customWidth="1"/>
    <col min="9734" max="9734" width="21" customWidth="1"/>
    <col min="9984" max="9984" width="5.6640625" customWidth="1"/>
    <col min="9985" max="9985" width="3.109375" customWidth="1"/>
    <col min="9986" max="9986" width="29.33203125" customWidth="1"/>
    <col min="9987" max="9987" width="14.6640625" customWidth="1"/>
    <col min="9988" max="9988" width="12" customWidth="1"/>
    <col min="9989" max="9989" width="2.109375" customWidth="1"/>
    <col min="9990" max="9990" width="21" customWidth="1"/>
    <col min="10240" max="10240" width="5.6640625" customWidth="1"/>
    <col min="10241" max="10241" width="3.109375" customWidth="1"/>
    <col min="10242" max="10242" width="29.33203125" customWidth="1"/>
    <col min="10243" max="10243" width="14.6640625" customWidth="1"/>
    <col min="10244" max="10244" width="12" customWidth="1"/>
    <col min="10245" max="10245" width="2.109375" customWidth="1"/>
    <col min="10246" max="10246" width="21" customWidth="1"/>
    <col min="10496" max="10496" width="5.6640625" customWidth="1"/>
    <col min="10497" max="10497" width="3.109375" customWidth="1"/>
    <col min="10498" max="10498" width="29.33203125" customWidth="1"/>
    <col min="10499" max="10499" width="14.6640625" customWidth="1"/>
    <col min="10500" max="10500" width="12" customWidth="1"/>
    <col min="10501" max="10501" width="2.109375" customWidth="1"/>
    <col min="10502" max="10502" width="21" customWidth="1"/>
    <col min="10752" max="10752" width="5.6640625" customWidth="1"/>
    <col min="10753" max="10753" width="3.109375" customWidth="1"/>
    <col min="10754" max="10754" width="29.33203125" customWidth="1"/>
    <col min="10755" max="10755" width="14.6640625" customWidth="1"/>
    <col min="10756" max="10756" width="12" customWidth="1"/>
    <col min="10757" max="10757" width="2.109375" customWidth="1"/>
    <col min="10758" max="10758" width="21" customWidth="1"/>
    <col min="11008" max="11008" width="5.6640625" customWidth="1"/>
    <col min="11009" max="11009" width="3.109375" customWidth="1"/>
    <col min="11010" max="11010" width="29.33203125" customWidth="1"/>
    <col min="11011" max="11011" width="14.6640625" customWidth="1"/>
    <col min="11012" max="11012" width="12" customWidth="1"/>
    <col min="11013" max="11013" width="2.109375" customWidth="1"/>
    <col min="11014" max="11014" width="21" customWidth="1"/>
    <col min="11264" max="11264" width="5.6640625" customWidth="1"/>
    <col min="11265" max="11265" width="3.109375" customWidth="1"/>
    <col min="11266" max="11266" width="29.33203125" customWidth="1"/>
    <col min="11267" max="11267" width="14.6640625" customWidth="1"/>
    <col min="11268" max="11268" width="12" customWidth="1"/>
    <col min="11269" max="11269" width="2.109375" customWidth="1"/>
    <col min="11270" max="11270" width="21" customWidth="1"/>
    <col min="11520" max="11520" width="5.6640625" customWidth="1"/>
    <col min="11521" max="11521" width="3.109375" customWidth="1"/>
    <col min="11522" max="11522" width="29.33203125" customWidth="1"/>
    <col min="11523" max="11523" width="14.6640625" customWidth="1"/>
    <col min="11524" max="11524" width="12" customWidth="1"/>
    <col min="11525" max="11525" width="2.109375" customWidth="1"/>
    <col min="11526" max="11526" width="21" customWidth="1"/>
    <col min="11776" max="11776" width="5.6640625" customWidth="1"/>
    <col min="11777" max="11777" width="3.109375" customWidth="1"/>
    <col min="11778" max="11778" width="29.33203125" customWidth="1"/>
    <col min="11779" max="11779" width="14.6640625" customWidth="1"/>
    <col min="11780" max="11780" width="12" customWidth="1"/>
    <col min="11781" max="11781" width="2.109375" customWidth="1"/>
    <col min="11782" max="11782" width="21" customWidth="1"/>
    <col min="12032" max="12032" width="5.6640625" customWidth="1"/>
    <col min="12033" max="12033" width="3.109375" customWidth="1"/>
    <col min="12034" max="12034" width="29.33203125" customWidth="1"/>
    <col min="12035" max="12035" width="14.6640625" customWidth="1"/>
    <col min="12036" max="12036" width="12" customWidth="1"/>
    <col min="12037" max="12037" width="2.109375" customWidth="1"/>
    <col min="12038" max="12038" width="21" customWidth="1"/>
    <col min="12288" max="12288" width="5.6640625" customWidth="1"/>
    <col min="12289" max="12289" width="3.109375" customWidth="1"/>
    <col min="12290" max="12290" width="29.33203125" customWidth="1"/>
    <col min="12291" max="12291" width="14.6640625" customWidth="1"/>
    <col min="12292" max="12292" width="12" customWidth="1"/>
    <col min="12293" max="12293" width="2.109375" customWidth="1"/>
    <col min="12294" max="12294" width="21" customWidth="1"/>
    <col min="12544" max="12544" width="5.6640625" customWidth="1"/>
    <col min="12545" max="12545" width="3.109375" customWidth="1"/>
    <col min="12546" max="12546" width="29.33203125" customWidth="1"/>
    <col min="12547" max="12547" width="14.6640625" customWidth="1"/>
    <col min="12548" max="12548" width="12" customWidth="1"/>
    <col min="12549" max="12549" width="2.109375" customWidth="1"/>
    <col min="12550" max="12550" width="21" customWidth="1"/>
    <col min="12800" max="12800" width="5.6640625" customWidth="1"/>
    <col min="12801" max="12801" width="3.109375" customWidth="1"/>
    <col min="12802" max="12802" width="29.33203125" customWidth="1"/>
    <col min="12803" max="12803" width="14.6640625" customWidth="1"/>
    <col min="12804" max="12804" width="12" customWidth="1"/>
    <col min="12805" max="12805" width="2.109375" customWidth="1"/>
    <col min="12806" max="12806" width="21" customWidth="1"/>
    <col min="13056" max="13056" width="5.6640625" customWidth="1"/>
    <col min="13057" max="13057" width="3.109375" customWidth="1"/>
    <col min="13058" max="13058" width="29.33203125" customWidth="1"/>
    <col min="13059" max="13059" width="14.6640625" customWidth="1"/>
    <col min="13060" max="13060" width="12" customWidth="1"/>
    <col min="13061" max="13061" width="2.109375" customWidth="1"/>
    <col min="13062" max="13062" width="21" customWidth="1"/>
    <col min="13312" max="13312" width="5.6640625" customWidth="1"/>
    <col min="13313" max="13313" width="3.109375" customWidth="1"/>
    <col min="13314" max="13314" width="29.33203125" customWidth="1"/>
    <col min="13315" max="13315" width="14.6640625" customWidth="1"/>
    <col min="13316" max="13316" width="12" customWidth="1"/>
    <col min="13317" max="13317" width="2.109375" customWidth="1"/>
    <col min="13318" max="13318" width="21" customWidth="1"/>
    <col min="13568" max="13568" width="5.6640625" customWidth="1"/>
    <col min="13569" max="13569" width="3.109375" customWidth="1"/>
    <col min="13570" max="13570" width="29.33203125" customWidth="1"/>
    <col min="13571" max="13571" width="14.6640625" customWidth="1"/>
    <col min="13572" max="13572" width="12" customWidth="1"/>
    <col min="13573" max="13573" width="2.109375" customWidth="1"/>
    <col min="13574" max="13574" width="21" customWidth="1"/>
    <col min="13824" max="13824" width="5.6640625" customWidth="1"/>
    <col min="13825" max="13825" width="3.109375" customWidth="1"/>
    <col min="13826" max="13826" width="29.33203125" customWidth="1"/>
    <col min="13827" max="13827" width="14.6640625" customWidth="1"/>
    <col min="13828" max="13828" width="12" customWidth="1"/>
    <col min="13829" max="13829" width="2.109375" customWidth="1"/>
    <col min="13830" max="13830" width="21" customWidth="1"/>
    <col min="14080" max="14080" width="5.6640625" customWidth="1"/>
    <col min="14081" max="14081" width="3.109375" customWidth="1"/>
    <col min="14082" max="14082" width="29.33203125" customWidth="1"/>
    <col min="14083" max="14083" width="14.6640625" customWidth="1"/>
    <col min="14084" max="14084" width="12" customWidth="1"/>
    <col min="14085" max="14085" width="2.109375" customWidth="1"/>
    <col min="14086" max="14086" width="21" customWidth="1"/>
    <col min="14336" max="14336" width="5.6640625" customWidth="1"/>
    <col min="14337" max="14337" width="3.109375" customWidth="1"/>
    <col min="14338" max="14338" width="29.33203125" customWidth="1"/>
    <col min="14339" max="14339" width="14.6640625" customWidth="1"/>
    <col min="14340" max="14340" width="12" customWidth="1"/>
    <col min="14341" max="14341" width="2.109375" customWidth="1"/>
    <col min="14342" max="14342" width="21" customWidth="1"/>
    <col min="14592" max="14592" width="5.6640625" customWidth="1"/>
    <col min="14593" max="14593" width="3.109375" customWidth="1"/>
    <col min="14594" max="14594" width="29.33203125" customWidth="1"/>
    <col min="14595" max="14595" width="14.6640625" customWidth="1"/>
    <col min="14596" max="14596" width="12" customWidth="1"/>
    <col min="14597" max="14597" width="2.109375" customWidth="1"/>
    <col min="14598" max="14598" width="21" customWidth="1"/>
    <col min="14848" max="14848" width="5.6640625" customWidth="1"/>
    <col min="14849" max="14849" width="3.109375" customWidth="1"/>
    <col min="14850" max="14850" width="29.33203125" customWidth="1"/>
    <col min="14851" max="14851" width="14.6640625" customWidth="1"/>
    <col min="14852" max="14852" width="12" customWidth="1"/>
    <col min="14853" max="14853" width="2.109375" customWidth="1"/>
    <col min="14854" max="14854" width="21" customWidth="1"/>
    <col min="15104" max="15104" width="5.6640625" customWidth="1"/>
    <col min="15105" max="15105" width="3.109375" customWidth="1"/>
    <col min="15106" max="15106" width="29.33203125" customWidth="1"/>
    <col min="15107" max="15107" width="14.6640625" customWidth="1"/>
    <col min="15108" max="15108" width="12" customWidth="1"/>
    <col min="15109" max="15109" width="2.109375" customWidth="1"/>
    <col min="15110" max="15110" width="21" customWidth="1"/>
    <col min="15360" max="15360" width="5.6640625" customWidth="1"/>
    <col min="15361" max="15361" width="3.109375" customWidth="1"/>
    <col min="15362" max="15362" width="29.33203125" customWidth="1"/>
    <col min="15363" max="15363" width="14.6640625" customWidth="1"/>
    <col min="15364" max="15364" width="12" customWidth="1"/>
    <col min="15365" max="15365" width="2.109375" customWidth="1"/>
    <col min="15366" max="15366" width="21" customWidth="1"/>
    <col min="15616" max="15616" width="5.6640625" customWidth="1"/>
    <col min="15617" max="15617" width="3.109375" customWidth="1"/>
    <col min="15618" max="15618" width="29.33203125" customWidth="1"/>
    <col min="15619" max="15619" width="14.6640625" customWidth="1"/>
    <col min="15620" max="15620" width="12" customWidth="1"/>
    <col min="15621" max="15621" width="2.109375" customWidth="1"/>
    <col min="15622" max="15622" width="21" customWidth="1"/>
    <col min="15872" max="15872" width="5.6640625" customWidth="1"/>
    <col min="15873" max="15873" width="3.109375" customWidth="1"/>
    <col min="15874" max="15874" width="29.33203125" customWidth="1"/>
    <col min="15875" max="15875" width="14.6640625" customWidth="1"/>
    <col min="15876" max="15876" width="12" customWidth="1"/>
    <col min="15877" max="15877" width="2.109375" customWidth="1"/>
    <col min="15878" max="15878" width="21" customWidth="1"/>
    <col min="16128" max="16128" width="5.6640625" customWidth="1"/>
    <col min="16129" max="16129" width="3.109375" customWidth="1"/>
    <col min="16130" max="16130" width="29.33203125" customWidth="1"/>
    <col min="16131" max="16131" width="14.6640625" customWidth="1"/>
    <col min="16132" max="16132" width="12" customWidth="1"/>
    <col min="16133" max="16133" width="2.109375" customWidth="1"/>
    <col min="16134" max="16134" width="21" customWidth="1"/>
  </cols>
  <sheetData>
    <row r="1" spans="1:18" ht="17.399999999999999" x14ac:dyDescent="0.3">
      <c r="A1" s="43" t="s">
        <v>47</v>
      </c>
    </row>
    <row r="2" spans="1:18" ht="17.399999999999999" x14ac:dyDescent="0.3">
      <c r="A2" s="164" t="s">
        <v>172</v>
      </c>
      <c r="B2" s="2" t="s">
        <v>173</v>
      </c>
    </row>
    <row r="3" spans="1:18" x14ac:dyDescent="0.3">
      <c r="C3" s="11" t="s">
        <v>111</v>
      </c>
      <c r="D3" s="68" t="s">
        <v>127</v>
      </c>
      <c r="F3" s="69">
        <f>MATCH(D3,'AE Tables'!$C$7:$E$7,0)+1</f>
        <v>3</v>
      </c>
    </row>
    <row r="4" spans="1:18" x14ac:dyDescent="0.3">
      <c r="D4" s="4" t="s">
        <v>174</v>
      </c>
      <c r="E4" s="5"/>
      <c r="F4" s="4" t="s">
        <v>46</v>
      </c>
      <c r="G4" s="6"/>
      <c r="H4" s="4" t="s">
        <v>0</v>
      </c>
      <c r="I4" s="4"/>
      <c r="J4" s="4" t="s">
        <v>1</v>
      </c>
      <c r="L4" s="4" t="s">
        <v>2</v>
      </c>
      <c r="N4" s="4" t="s">
        <v>43</v>
      </c>
      <c r="P4" s="4" t="s">
        <v>44</v>
      </c>
      <c r="R4" s="4" t="s">
        <v>45</v>
      </c>
    </row>
    <row r="6" spans="1:18" ht="15.6" x14ac:dyDescent="0.3">
      <c r="A6" s="7" t="s">
        <v>3</v>
      </c>
      <c r="B6" s="8"/>
      <c r="C6" s="30" t="s">
        <v>67</v>
      </c>
      <c r="D6" s="31">
        <v>1000</v>
      </c>
      <c r="F6" s="31"/>
      <c r="H6" s="31"/>
      <c r="J6" s="31"/>
      <c r="L6" s="31"/>
      <c r="N6" s="31"/>
      <c r="P6" s="31"/>
      <c r="R6" s="31"/>
    </row>
    <row r="7" spans="1:18" x14ac:dyDescent="0.3">
      <c r="A7" s="7" t="s">
        <v>4</v>
      </c>
      <c r="B7" s="8"/>
      <c r="C7" s="3" t="s">
        <v>5</v>
      </c>
      <c r="D7" s="32">
        <v>44317</v>
      </c>
      <c r="F7" s="32"/>
      <c r="H7" s="32"/>
      <c r="J7" s="32"/>
      <c r="L7" s="32"/>
      <c r="N7" s="32"/>
      <c r="P7" s="32"/>
      <c r="R7" s="32"/>
    </row>
    <row r="8" spans="1:18" x14ac:dyDescent="0.3">
      <c r="A8" s="7" t="s">
        <v>6</v>
      </c>
      <c r="B8" s="8"/>
      <c r="C8" s="3" t="s">
        <v>7</v>
      </c>
      <c r="D8" s="32">
        <v>44562</v>
      </c>
      <c r="F8" s="32"/>
      <c r="H8" s="32"/>
      <c r="J8" s="32"/>
      <c r="L8" s="32"/>
      <c r="N8" s="32"/>
      <c r="P8" s="32"/>
      <c r="R8" s="32"/>
    </row>
    <row r="9" spans="1:18" ht="15.6" x14ac:dyDescent="0.3">
      <c r="A9" s="7" t="s">
        <v>8</v>
      </c>
      <c r="B9" s="10" t="s">
        <v>9</v>
      </c>
      <c r="C9" s="11" t="s">
        <v>10</v>
      </c>
      <c r="D9" s="33">
        <f>IF((D8-D7)&gt;0,D8-D7,"")</f>
        <v>245</v>
      </c>
      <c r="F9" s="33" t="str">
        <f>IF((F8-F7)&gt;0,F8-F7,"")</f>
        <v/>
      </c>
      <c r="H9" s="33" t="str">
        <f>IF((H8-H7)&gt;0,H8-H7,"")</f>
        <v/>
      </c>
      <c r="I9" t="str">
        <f>IF((I8-I7)&gt;0,I8-I7,"")</f>
        <v/>
      </c>
      <c r="J9" s="33" t="str">
        <f>IF((J8-J7)&gt;0,J8-J7,"")</f>
        <v/>
      </c>
      <c r="L9" s="33" t="str">
        <f>IF((L8-L7)&gt;0,L8-L7,"")</f>
        <v/>
      </c>
      <c r="N9" s="33" t="str">
        <f>IF((N8-N7)&gt;0,N8-N7,"")</f>
        <v/>
      </c>
      <c r="P9" s="33" t="str">
        <f>IF((P8-P7)&gt;0,P8-P7,"")</f>
        <v/>
      </c>
      <c r="R9" s="33" t="str">
        <f>IF((R8-R7)&gt;0,R8-R7,"")</f>
        <v/>
      </c>
    </row>
    <row r="10" spans="1:18" x14ac:dyDescent="0.3">
      <c r="F10" s="13"/>
      <c r="H10" s="13"/>
      <c r="J10" s="13"/>
      <c r="L10" s="13"/>
      <c r="N10" s="13"/>
      <c r="P10" s="13"/>
      <c r="R10" s="13"/>
    </row>
    <row r="11" spans="1:18" ht="15.6" x14ac:dyDescent="0.3">
      <c r="C11" s="9" t="s">
        <v>16</v>
      </c>
      <c r="F11" s="13"/>
      <c r="H11" s="13"/>
      <c r="J11" s="13"/>
      <c r="L11" s="13"/>
      <c r="N11" s="13"/>
      <c r="P11" s="13"/>
      <c r="R11" s="13"/>
    </row>
    <row r="12" spans="1:18" x14ac:dyDescent="0.3">
      <c r="A12" s="7" t="s">
        <v>14</v>
      </c>
      <c r="B12" s="8"/>
      <c r="C12" s="35" t="s">
        <v>18</v>
      </c>
      <c r="D12" s="31">
        <v>3000</v>
      </c>
      <c r="F12" s="31"/>
      <c r="H12" s="31"/>
      <c r="J12" s="31"/>
      <c r="L12" s="31"/>
      <c r="N12" s="31"/>
      <c r="P12" s="31"/>
      <c r="R12" s="31"/>
    </row>
    <row r="13" spans="1:18" x14ac:dyDescent="0.3">
      <c r="A13" s="7" t="s">
        <v>17</v>
      </c>
      <c r="B13" s="8"/>
      <c r="C13" s="35" t="s">
        <v>20</v>
      </c>
      <c r="D13" s="36">
        <v>0.15</v>
      </c>
      <c r="F13" s="36"/>
      <c r="H13" s="36"/>
      <c r="J13" s="36"/>
      <c r="L13" s="36"/>
      <c r="N13" s="36"/>
      <c r="P13" s="36"/>
      <c r="R13" s="36"/>
    </row>
    <row r="14" spans="1:18" x14ac:dyDescent="0.3">
      <c r="A14" s="7" t="s">
        <v>19</v>
      </c>
      <c r="B14" s="10" t="s">
        <v>69</v>
      </c>
      <c r="C14" s="12"/>
      <c r="D14" s="37">
        <f>IF((D12*D13)&gt;0,D12*D13,"")</f>
        <v>450</v>
      </c>
      <c r="F14" s="37" t="str">
        <f>IF((F12*F13)&gt;0,F12*F13,"")</f>
        <v/>
      </c>
      <c r="H14" s="37" t="str">
        <f>IF((H12*H13)&gt;0,H12*H13,"")</f>
        <v/>
      </c>
      <c r="J14" s="37" t="str">
        <f>IF((J12*J13)&gt;0,J12*J13,"")</f>
        <v/>
      </c>
      <c r="L14" s="37" t="str">
        <f>IF((L12*L13)&gt;0,L12*L13,"")</f>
        <v/>
      </c>
      <c r="N14" s="37" t="str">
        <f>IF((N12*N13)&gt;0,N12*N13,"")</f>
        <v/>
      </c>
      <c r="P14" s="37" t="str">
        <f>IF((P12*P13)&gt;0,P12*P13,"")</f>
        <v/>
      </c>
      <c r="R14" s="37" t="str">
        <f>IF((R12*R13)&gt;0,R12*R13,"")</f>
        <v/>
      </c>
    </row>
    <row r="15" spans="1:18" x14ac:dyDescent="0.3">
      <c r="A15" s="7" t="s">
        <v>21</v>
      </c>
      <c r="B15" s="8"/>
      <c r="C15" s="35" t="s">
        <v>23</v>
      </c>
      <c r="D15" s="36">
        <v>0.1</v>
      </c>
      <c r="F15" s="36"/>
      <c r="H15" s="36"/>
      <c r="J15" s="36"/>
      <c r="L15" s="36"/>
      <c r="N15" s="36"/>
      <c r="P15" s="36"/>
      <c r="R15" s="36"/>
    </row>
    <row r="16" spans="1:18" x14ac:dyDescent="0.3">
      <c r="A16" s="7" t="s">
        <v>70</v>
      </c>
      <c r="B16" s="10" t="s">
        <v>71</v>
      </c>
      <c r="C16" s="12"/>
      <c r="D16" s="38">
        <f>IF(D12&gt;0,(D12-D14)*D15,"")</f>
        <v>255</v>
      </c>
      <c r="F16" s="38" t="str">
        <f>IF(F12&gt;0,(F12-F14)*F15,"")</f>
        <v/>
      </c>
      <c r="H16" s="38" t="str">
        <f>IF(H12&gt;0,(H12-H14)*H15,"")</f>
        <v/>
      </c>
      <c r="J16" s="38" t="str">
        <f>IF(J12&gt;0,(J12-J14)*J15,"")</f>
        <v/>
      </c>
      <c r="L16" s="38" t="str">
        <f>IF(L12&gt;0,(L12-L14)*L15,"")</f>
        <v/>
      </c>
      <c r="N16" s="38" t="str">
        <f>IF(N12&gt;0,(N12-N14)*N15,"")</f>
        <v/>
      </c>
      <c r="P16" s="38" t="str">
        <f>IF(P12&gt;0,(P12-P14)*P15,"")</f>
        <v/>
      </c>
      <c r="R16" s="38" t="str">
        <f>IF(R12&gt;0,(R12-R14)*R15,"")</f>
        <v/>
      </c>
    </row>
    <row r="17" spans="1:18" x14ac:dyDescent="0.3">
      <c r="A17" s="7" t="s">
        <v>22</v>
      </c>
      <c r="B17" s="8"/>
      <c r="C17" s="35" t="s">
        <v>25</v>
      </c>
      <c r="D17" s="36">
        <v>0.1</v>
      </c>
      <c r="F17" s="36"/>
      <c r="H17" s="36"/>
      <c r="J17" s="36"/>
      <c r="L17" s="36"/>
      <c r="N17" s="36"/>
      <c r="P17" s="36"/>
      <c r="R17" s="36"/>
    </row>
    <row r="18" spans="1:18" x14ac:dyDescent="0.3">
      <c r="A18" s="15" t="s">
        <v>24</v>
      </c>
      <c r="B18" s="10" t="s">
        <v>72</v>
      </c>
      <c r="C18" s="12"/>
      <c r="D18" s="38">
        <f>IF(D12&gt;0,(D12-D14)*D17,"")</f>
        <v>255</v>
      </c>
      <c r="F18" s="38" t="str">
        <f>IF(F12&gt;0,(F12-F14)*F17,"")</f>
        <v/>
      </c>
      <c r="H18" s="38" t="str">
        <f>IF(H12&gt;0,(H12-H14)*H17,"")</f>
        <v/>
      </c>
      <c r="J18" s="38" t="str">
        <f>IF(J12&gt;0,(J12-J14)*J17,"")</f>
        <v/>
      </c>
      <c r="L18" s="38" t="str">
        <f>IF(L12&gt;0,(L12-L14)*L17,"")</f>
        <v/>
      </c>
      <c r="N18" s="38" t="str">
        <f>IF(N12&gt;0,(N12-N14)*N17,"")</f>
        <v/>
      </c>
      <c r="P18" s="38" t="str">
        <f>IF(P12&gt;0,(P12-P14)*P17,"")</f>
        <v/>
      </c>
      <c r="R18" s="38" t="str">
        <f>IF(R12&gt;0,(R12-R14)*R17,"")</f>
        <v/>
      </c>
    </row>
    <row r="19" spans="1:18" x14ac:dyDescent="0.3">
      <c r="A19" s="7" t="s">
        <v>30</v>
      </c>
      <c r="B19" s="8"/>
      <c r="C19" s="14" t="s">
        <v>27</v>
      </c>
      <c r="D19" s="16">
        <v>0</v>
      </c>
      <c r="F19" s="16"/>
      <c r="H19" s="16"/>
      <c r="J19" s="16"/>
      <c r="L19" s="16"/>
      <c r="N19" s="16"/>
      <c r="P19" s="16"/>
      <c r="R19" s="16"/>
    </row>
    <row r="20" spans="1:18" ht="10.5" customHeight="1" x14ac:dyDescent="0.3">
      <c r="A20" s="17"/>
      <c r="B20" s="8"/>
      <c r="C20" s="11"/>
      <c r="D20" s="18"/>
      <c r="F20" s="18"/>
      <c r="H20" s="18"/>
      <c r="J20" s="18"/>
      <c r="L20" s="18"/>
      <c r="N20" s="18"/>
      <c r="P20" s="18"/>
      <c r="R20" s="18"/>
    </row>
    <row r="21" spans="1:18" ht="15.6" x14ac:dyDescent="0.3">
      <c r="A21" s="7" t="s">
        <v>26</v>
      </c>
      <c r="B21" s="10" t="s">
        <v>73</v>
      </c>
      <c r="C21" s="19" t="s">
        <v>29</v>
      </c>
      <c r="D21" s="20">
        <f>IF(D12&gt;0,D12-D14-D16+D19,"")</f>
        <v>2295</v>
      </c>
      <c r="F21" s="20" t="str">
        <f>IF(F12&gt;0,F12-F14-F16+F19,"")</f>
        <v/>
      </c>
      <c r="H21" s="20" t="str">
        <f>IF(H12&gt;0,H12-H14-H16+H19,"")</f>
        <v/>
      </c>
      <c r="J21" s="20" t="str">
        <f>IF(J12&gt;0,J12-J14-J16+J19,"")</f>
        <v/>
      </c>
      <c r="L21" s="20" t="str">
        <f>IF(L12&gt;0,L12-L14-L16+L19,"")</f>
        <v/>
      </c>
      <c r="N21" s="20" t="str">
        <f>IF(N12&gt;0,N12-N14-N16+N19,"")</f>
        <v/>
      </c>
      <c r="P21" s="20" t="str">
        <f>IF(P12&gt;0,P12-P14-P16+P19,"")</f>
        <v/>
      </c>
      <c r="R21" s="20" t="str">
        <f>IF(R12&gt;0,R12-R14-R16+R19,"")</f>
        <v/>
      </c>
    </row>
    <row r="22" spans="1:18" ht="10.5" customHeight="1" x14ac:dyDescent="0.3">
      <c r="A22" s="17"/>
      <c r="B22" s="21"/>
      <c r="C22" s="22"/>
      <c r="D22" s="23"/>
      <c r="F22" s="23"/>
      <c r="H22" s="23"/>
      <c r="J22" s="23"/>
      <c r="L22" s="23"/>
      <c r="N22" s="23"/>
      <c r="P22" s="23"/>
      <c r="R22" s="23"/>
    </row>
    <row r="23" spans="1:18" x14ac:dyDescent="0.3">
      <c r="A23" s="7" t="s">
        <v>28</v>
      </c>
      <c r="B23" s="8"/>
      <c r="C23" s="14" t="s">
        <v>31</v>
      </c>
      <c r="D23" s="31">
        <v>1200</v>
      </c>
      <c r="F23" s="31"/>
      <c r="H23" s="31"/>
      <c r="J23" s="31"/>
      <c r="L23" s="31"/>
      <c r="N23" s="31"/>
      <c r="P23" s="31"/>
      <c r="R23" s="31"/>
    </row>
    <row r="24" spans="1:18" ht="10.5" customHeight="1" x14ac:dyDescent="0.3">
      <c r="A24" s="17"/>
      <c r="B24" s="8"/>
      <c r="C24" s="11"/>
      <c r="D24" s="24"/>
      <c r="F24" s="24"/>
      <c r="H24" s="24"/>
      <c r="J24" s="24"/>
      <c r="L24" s="24"/>
      <c r="N24" s="24"/>
      <c r="P24" s="24"/>
      <c r="R24" s="24"/>
    </row>
    <row r="25" spans="1:18" ht="15.6" x14ac:dyDescent="0.3">
      <c r="A25" s="25" t="s">
        <v>32</v>
      </c>
      <c r="B25" s="10" t="s">
        <v>113</v>
      </c>
      <c r="C25" s="26" t="s">
        <v>33</v>
      </c>
      <c r="D25" s="27">
        <f>IF(D12&gt;0,(IF(D23&gt;D18,D21-D23,D21-D18)),"")</f>
        <v>1095</v>
      </c>
      <c r="F25" s="27" t="str">
        <f>IF(F12&gt;0,(IF(F23&gt;F18,F21-F23,F21-F18)),"")</f>
        <v/>
      </c>
      <c r="H25" s="27" t="str">
        <f>IF(H12&gt;0,(IF(H23&gt;H18,H21-H23,H21-H18)),"")</f>
        <v/>
      </c>
      <c r="J25" s="27" t="str">
        <f>IF(J12&gt;0,(IF(J23&gt;J18,J21-J23,J21-J18)),"")</f>
        <v/>
      </c>
      <c r="L25" s="27" t="str">
        <f>IF(L12&gt;0,(IF(L23&gt;L18,L21-L23,L21-L18)),"")</f>
        <v/>
      </c>
      <c r="N25" s="27" t="str">
        <f>IF(N12&gt;0,(IF(N23&gt;N18,N21-N23,N21-N18)),"")</f>
        <v/>
      </c>
      <c r="P25" s="27" t="str">
        <f>IF(P12&gt;0,(IF(P23&gt;P18,P21-P23,P21-P18)),"")</f>
        <v/>
      </c>
      <c r="R25" s="27" t="str">
        <f>IF(R12&gt;0,(IF(R23&gt;R18,R21-R23,R21-R18)),"")</f>
        <v/>
      </c>
    </row>
    <row r="26" spans="1:18" ht="25.5" customHeight="1" x14ac:dyDescent="0.3">
      <c r="F26" s="13"/>
      <c r="H26" s="13"/>
      <c r="J26" s="13"/>
      <c r="L26" s="13"/>
      <c r="N26" s="13"/>
      <c r="P26" s="13"/>
      <c r="R26" s="13"/>
    </row>
    <row r="27" spans="1:18" ht="15.6" x14ac:dyDescent="0.3">
      <c r="C27" s="9" t="s">
        <v>34</v>
      </c>
      <c r="E27" s="28"/>
      <c r="F27" s="13"/>
      <c r="H27" s="13"/>
      <c r="J27" s="13"/>
      <c r="L27" s="13"/>
      <c r="N27" s="13"/>
      <c r="P27" s="13"/>
      <c r="R27" s="13"/>
    </row>
    <row r="28" spans="1:18" x14ac:dyDescent="0.3">
      <c r="B28" s="8"/>
      <c r="C28" s="3" t="s">
        <v>11</v>
      </c>
      <c r="D28" s="16" t="s">
        <v>97</v>
      </c>
      <c r="F28" s="16"/>
      <c r="H28" s="16"/>
      <c r="J28" s="16"/>
      <c r="L28" s="16"/>
      <c r="N28" s="16"/>
      <c r="P28" s="16"/>
      <c r="R28" s="16"/>
    </row>
    <row r="29" spans="1:18" x14ac:dyDescent="0.3">
      <c r="A29" s="7" t="s">
        <v>35</v>
      </c>
      <c r="B29" s="8"/>
      <c r="C29" s="3" t="s">
        <v>68</v>
      </c>
      <c r="D29" s="16">
        <v>300</v>
      </c>
      <c r="F29" s="16"/>
      <c r="H29" s="16"/>
      <c r="J29" s="16"/>
      <c r="L29" s="16"/>
      <c r="N29" s="16"/>
      <c r="P29" s="16"/>
      <c r="R29" s="16"/>
    </row>
    <row r="30" spans="1:18" x14ac:dyDescent="0.3">
      <c r="A30" s="7" t="s">
        <v>36</v>
      </c>
      <c r="B30" s="8"/>
      <c r="C30" s="3" t="s">
        <v>12</v>
      </c>
      <c r="D30" s="16">
        <v>350</v>
      </c>
      <c r="F30" s="16"/>
      <c r="H30" s="16"/>
      <c r="J30" s="16"/>
      <c r="L30" s="16"/>
      <c r="N30" s="16"/>
      <c r="P30" s="16"/>
      <c r="R30" s="16"/>
    </row>
    <row r="31" spans="1:18" x14ac:dyDescent="0.3">
      <c r="A31" s="7" t="s">
        <v>74</v>
      </c>
      <c r="C31" s="3" t="s">
        <v>13</v>
      </c>
      <c r="D31" s="16">
        <v>350</v>
      </c>
      <c r="F31" s="16"/>
      <c r="H31" s="16"/>
      <c r="J31" s="16"/>
      <c r="L31" s="16"/>
      <c r="N31" s="16"/>
      <c r="P31" s="16"/>
      <c r="R31" s="16"/>
    </row>
    <row r="32" spans="1:18" x14ac:dyDescent="0.3">
      <c r="A32" s="7" t="s">
        <v>75</v>
      </c>
      <c r="C32" s="3" t="s">
        <v>76</v>
      </c>
      <c r="D32" s="65">
        <f>IF(D30&gt;0,(D30+D31)/2," ")</f>
        <v>350</v>
      </c>
      <c r="E32" t="str">
        <f t="shared" ref="E32:R32" si="0">IF(E30&gt;0,(E30+E31)/2," ")</f>
        <v xml:space="preserve"> </v>
      </c>
      <c r="F32" s="65" t="str">
        <f t="shared" si="0"/>
        <v xml:space="preserve"> </v>
      </c>
      <c r="G32" t="str">
        <f t="shared" si="0"/>
        <v xml:space="preserve"> </v>
      </c>
      <c r="H32" s="65" t="str">
        <f t="shared" si="0"/>
        <v xml:space="preserve"> </v>
      </c>
      <c r="I32" t="str">
        <f t="shared" si="0"/>
        <v xml:space="preserve"> </v>
      </c>
      <c r="J32" s="65" t="str">
        <f t="shared" si="0"/>
        <v xml:space="preserve"> </v>
      </c>
      <c r="K32" t="str">
        <f t="shared" si="0"/>
        <v xml:space="preserve"> </v>
      </c>
      <c r="L32" s="65" t="str">
        <f t="shared" si="0"/>
        <v xml:space="preserve"> </v>
      </c>
      <c r="M32" t="str">
        <f t="shared" si="0"/>
        <v xml:space="preserve"> </v>
      </c>
      <c r="N32" s="65" t="str">
        <f t="shared" si="0"/>
        <v xml:space="preserve"> </v>
      </c>
      <c r="O32" t="str">
        <f t="shared" si="0"/>
        <v xml:space="preserve"> </v>
      </c>
      <c r="P32" s="65" t="str">
        <f t="shared" si="0"/>
        <v xml:space="preserve"> </v>
      </c>
      <c r="Q32" t="str">
        <f t="shared" si="0"/>
        <v xml:space="preserve"> </v>
      </c>
      <c r="R32" s="65" t="str">
        <f t="shared" si="0"/>
        <v xml:space="preserve"> </v>
      </c>
    </row>
    <row r="33" spans="1:18" x14ac:dyDescent="0.3">
      <c r="A33" s="7" t="s">
        <v>77</v>
      </c>
      <c r="B33" s="21" t="s">
        <v>107</v>
      </c>
      <c r="C33" s="3" t="s">
        <v>106</v>
      </c>
      <c r="D33" s="70">
        <f>IF(D28&gt;0,VLOOKUP(D28,'AE Tables'!$B$7:$E$17,$F$3,FALSE)," ")</f>
        <v>1.0321258487924401</v>
      </c>
      <c r="F33" s="70" t="str">
        <f>IF(F28&gt;0,VLOOKUP(F28,'AE Tables'!$B$7:$E$17,$F$3,FALSE)," ")</f>
        <v xml:space="preserve"> </v>
      </c>
      <c r="H33" s="70" t="str">
        <f>IF(H28&gt;0,VLOOKUP(H28,'AE Tables'!$B$7:$E$17,$F$3,FALSE)," ")</f>
        <v xml:space="preserve"> </v>
      </c>
      <c r="J33" s="70" t="str">
        <f>IF(J28&gt;0,VLOOKUP(J28,'AE Tables'!$B$7:$E$17,$F$3,FALSE)," ")</f>
        <v xml:space="preserve"> </v>
      </c>
      <c r="L33" s="70" t="str">
        <f>IF(L28&gt;0,VLOOKUP(L28,'AE Tables'!$B$7:$E$17,$F$3,FALSE)," ")</f>
        <v xml:space="preserve"> </v>
      </c>
      <c r="N33" s="70" t="str">
        <f>IF(N28&gt;0,VLOOKUP(N28,'AE Tables'!$B$7:$E$17,$F$3,FALSE)," ")</f>
        <v xml:space="preserve"> </v>
      </c>
      <c r="P33" s="70" t="str">
        <f>IF(P28&gt;0,VLOOKUP(P28,'AE Tables'!$B$7:$E$17,$F$3,FALSE)," ")</f>
        <v xml:space="preserve"> </v>
      </c>
      <c r="R33" s="70" t="str">
        <f>IF(R28&gt;0,VLOOKUP(R28,'AE Tables'!$B$7:$E$17,$F$3,FALSE)," ")</f>
        <v xml:space="preserve"> </v>
      </c>
    </row>
    <row r="34" spans="1:18" x14ac:dyDescent="0.3">
      <c r="A34" s="17"/>
      <c r="B34" s="21"/>
      <c r="C34" s="3" t="s">
        <v>109</v>
      </c>
      <c r="D34" s="71">
        <f>IF(D31&gt;0,(D31-D30)/D9," ")</f>
        <v>0</v>
      </c>
      <c r="F34" s="71" t="str">
        <f>IF(F31&gt;0,(F31-F30)/F9," ")</f>
        <v xml:space="preserve"> </v>
      </c>
      <c r="H34" s="71" t="str">
        <f>IF(H31&gt;0,(H31-H30)/H9," ")</f>
        <v xml:space="preserve"> </v>
      </c>
      <c r="J34" s="71" t="str">
        <f>IF(J31&gt;0,(J31-J30)/J9," ")</f>
        <v xml:space="preserve"> </v>
      </c>
      <c r="L34" s="71" t="str">
        <f>IF(L31&gt;0,(L31-L30)/L9," ")</f>
        <v xml:space="preserve"> </v>
      </c>
      <c r="N34" s="71" t="str">
        <f>IF(N31&gt;0,(N31-N30)/N9," ")</f>
        <v xml:space="preserve"> </v>
      </c>
      <c r="P34" s="71" t="str">
        <f>IF(P31&gt;0,(P31-P30)/P9," ")</f>
        <v xml:space="preserve"> </v>
      </c>
      <c r="R34" s="71" t="str">
        <f>IF(R31&gt;0,(R31-R30)/R9," ")</f>
        <v xml:space="preserve"> </v>
      </c>
    </row>
    <row r="35" spans="1:18" x14ac:dyDescent="0.3">
      <c r="A35" s="7" t="s">
        <v>78</v>
      </c>
      <c r="B35" s="67" t="s">
        <v>108</v>
      </c>
      <c r="C35" s="11" t="s">
        <v>15</v>
      </c>
      <c r="D35" s="34">
        <f>IF(D29&gt;0,D29*D33," ")</f>
        <v>309.63775463773203</v>
      </c>
      <c r="F35" s="34" t="str">
        <f>IF(F29&gt;0,F29*F33," ")</f>
        <v xml:space="preserve"> </v>
      </c>
      <c r="H35" s="34" t="str">
        <f>IF(H29&gt;0,H29*H33," ")</f>
        <v xml:space="preserve"> </v>
      </c>
      <c r="J35" s="34" t="str">
        <f>IF(J29&gt;0,J29*J33," ")</f>
        <v xml:space="preserve"> </v>
      </c>
      <c r="L35" s="34" t="str">
        <f>IF(L29&gt;0,L29*L33," ")</f>
        <v xml:space="preserve"> </v>
      </c>
      <c r="N35" s="34" t="str">
        <f>IF(N29&gt;0,N29*N33," ")</f>
        <v xml:space="preserve"> </v>
      </c>
      <c r="P35" s="34" t="str">
        <f>IF(P29&gt;0,P29*P33," ")</f>
        <v xml:space="preserve"> </v>
      </c>
      <c r="R35" s="34" t="str">
        <f>IF(R29&gt;0,R29*R33," ")</f>
        <v xml:space="preserve"> </v>
      </c>
    </row>
    <row r="36" spans="1:18" ht="15.6" x14ac:dyDescent="0.3">
      <c r="A36" s="7" t="s">
        <v>79</v>
      </c>
      <c r="B36" s="8"/>
      <c r="C36" s="41" t="s">
        <v>42</v>
      </c>
      <c r="D36" s="33">
        <f>IF(D28&gt;0,VLOOKUP($C$36,'AE Tables'!$B$19:$E$19,$F$3,FALSE)," ")</f>
        <v>8</v>
      </c>
      <c r="F36" s="33" t="str">
        <f>IF(F28&gt;0,VLOOKUP($C$36,'AE Tables'!$B$19:$E$19,$F$3,FALSE)," ")</f>
        <v xml:space="preserve"> </v>
      </c>
      <c r="H36" s="33" t="str">
        <f>IF(H28&gt;0,VLOOKUP($C$36,'AE Tables'!$B$19:$E$19,$F$3,FALSE)," ")</f>
        <v xml:space="preserve"> </v>
      </c>
      <c r="J36" s="33" t="str">
        <f>IF(J28&gt;0,VLOOKUP($C$36,'AE Tables'!$B$19:$E$19,$F$3,FALSE)," ")</f>
        <v xml:space="preserve"> </v>
      </c>
      <c r="L36" s="33" t="str">
        <f>IF(L28&gt;0,VLOOKUP($C$36,'AE Tables'!$B$19:$E$19,$F$3,FALSE)," ")</f>
        <v xml:space="preserve"> </v>
      </c>
      <c r="N36" s="33" t="str">
        <f>IF(N28&gt;0,VLOOKUP($C$36,'AE Tables'!$B$19:$E$19,$F$3,FALSE)," ")</f>
        <v xml:space="preserve"> </v>
      </c>
      <c r="P36" s="33" t="str">
        <f>IF(P28&gt;0,VLOOKUP($C$36,'AE Tables'!$B$19:$E$19,$F$3,FALSE)," ")</f>
        <v xml:space="preserve"> </v>
      </c>
      <c r="R36" s="33" t="str">
        <f>IF(R28&gt;0,VLOOKUP($C$36,'AE Tables'!$B$19:$E$19,$F$3,FALSE)," ")</f>
        <v xml:space="preserve"> </v>
      </c>
    </row>
    <row r="37" spans="1:18" x14ac:dyDescent="0.3">
      <c r="C37" s="12"/>
      <c r="F37" s="13"/>
      <c r="H37" s="13"/>
      <c r="J37" s="13"/>
      <c r="L37" s="13"/>
      <c r="N37" s="13"/>
      <c r="P37" s="13"/>
      <c r="R37" s="13"/>
    </row>
    <row r="38" spans="1:18" ht="15.6" x14ac:dyDescent="0.3">
      <c r="A38" s="7" t="s">
        <v>80</v>
      </c>
      <c r="B38" s="10" t="s">
        <v>81</v>
      </c>
      <c r="C38" s="14" t="s">
        <v>37</v>
      </c>
      <c r="D38" s="39">
        <f>IF(D29&gt;0,D36*D35*D9/D6,"")</f>
        <v>606.88999908995481</v>
      </c>
      <c r="E38" s="29"/>
      <c r="F38" s="39" t="str">
        <f>IF(F29&gt;0,F36*F35*F9/F6,"")</f>
        <v/>
      </c>
      <c r="H38" s="39" t="str">
        <f>IF(H29&gt;0,H36*H35*H9/H6,"")</f>
        <v/>
      </c>
      <c r="J38" s="39" t="str">
        <f>IF(J29&gt;0,J36*J35*J9/J6,"")</f>
        <v/>
      </c>
      <c r="L38" s="39" t="str">
        <f>IF(L29&gt;0,L36*L35*L9/L6,"")</f>
        <v/>
      </c>
      <c r="N38" s="39" t="str">
        <f>IF(N29&gt;0,N36*N35*N9/N6,"")</f>
        <v/>
      </c>
      <c r="P38" s="39" t="str">
        <f>IF(P29&gt;0,P36*P35*P9/P6,"")</f>
        <v/>
      </c>
      <c r="R38" s="39" t="str">
        <f>IF(R29&gt;0,R36*R35*R9/R6,"")</f>
        <v/>
      </c>
    </row>
    <row r="39" spans="1:18" x14ac:dyDescent="0.3">
      <c r="F39" s="13"/>
      <c r="H39" s="13"/>
      <c r="J39" s="13"/>
      <c r="L39" s="13"/>
      <c r="N39" s="13"/>
      <c r="P39" s="13"/>
      <c r="R39" s="13"/>
    </row>
    <row r="40" spans="1:18" ht="15.6" x14ac:dyDescent="0.3">
      <c r="C40" s="9" t="s">
        <v>38</v>
      </c>
      <c r="F40" s="13"/>
      <c r="H40" s="13"/>
      <c r="J40" s="13"/>
      <c r="L40" s="13"/>
      <c r="N40" s="13"/>
      <c r="P40" s="13"/>
      <c r="R40" s="13"/>
    </row>
    <row r="41" spans="1:18" ht="27" x14ac:dyDescent="0.3">
      <c r="B41" s="10" t="s">
        <v>82</v>
      </c>
      <c r="C41" s="42" t="s">
        <v>39</v>
      </c>
      <c r="D41" s="40">
        <f>IF(D12&gt;0,(D25*D6)/(D36*D35),"")</f>
        <v>442.04880687156555</v>
      </c>
      <c r="E41" s="28"/>
      <c r="F41" s="40" t="str">
        <f>IF(F12&gt;0,(F25*F6)/(F36*F35),"")</f>
        <v/>
      </c>
      <c r="H41" s="40" t="str">
        <f>IF(H12&gt;0,(H25*H6)/(H36*H35),"")</f>
        <v/>
      </c>
      <c r="J41" s="40" t="str">
        <f>IF(J12&gt;0,(J25*J6)/(J36*J35),"")</f>
        <v/>
      </c>
      <c r="L41" s="40" t="str">
        <f>IF(L12&gt;0,(L25*L6)/(L36*L35),"")</f>
        <v/>
      </c>
      <c r="N41" s="40" t="str">
        <f>IF(N12&gt;0,(N25*N6)/(N36*N35),"")</f>
        <v/>
      </c>
      <c r="P41" s="40" t="str">
        <f>IF(P12&gt;0,(P25*P6)/(P36*P35),"")</f>
        <v/>
      </c>
      <c r="R41" s="40" t="str">
        <f>IF(R12&gt;0,(R25*R6)/(R36*R35),"")</f>
        <v/>
      </c>
    </row>
    <row r="42" spans="1:18" x14ac:dyDescent="0.3">
      <c r="C42" s="12"/>
      <c r="F42" s="13"/>
      <c r="H42" s="13"/>
      <c r="J42" s="13"/>
      <c r="L42" s="13"/>
      <c r="N42" s="13"/>
      <c r="P42" s="13"/>
      <c r="R42" s="13"/>
    </row>
    <row r="43" spans="1:18" ht="27" x14ac:dyDescent="0.3">
      <c r="B43" s="10" t="s">
        <v>83</v>
      </c>
      <c r="C43" s="42" t="s">
        <v>40</v>
      </c>
      <c r="D43" s="39">
        <f>IF(D12&gt;0,(D25*D6)/(D36*D9),"")</f>
        <v>558.67346938775506</v>
      </c>
      <c r="E43" s="29"/>
      <c r="F43" s="39" t="str">
        <f>IF(F12&gt;0,(F25*F6)/(F36*F9),"")</f>
        <v/>
      </c>
      <c r="H43" s="39" t="str">
        <f>IF(H12&gt;0,(H25*H6)/(H36*H9),"")</f>
        <v/>
      </c>
      <c r="J43" s="39" t="str">
        <f>IF(J12&gt;0,(J25*J6)/(J36*J9),"")</f>
        <v/>
      </c>
      <c r="L43" s="39" t="str">
        <f>IF(L12&gt;0,(L25*L6)/(L36*L9),"")</f>
        <v/>
      </c>
      <c r="N43" s="39" t="str">
        <f>IF(N12&gt;0,(N25*N6)/(N36*N9),"")</f>
        <v/>
      </c>
      <c r="P43" s="39" t="str">
        <f>IF(P12&gt;0,(P25*P6)/(P36*P9),"")</f>
        <v/>
      </c>
      <c r="R43" s="39" t="str">
        <f>IF(R12&gt;0,(R25*R6)/(R36*R9),"")</f>
        <v/>
      </c>
    </row>
    <row r="44" spans="1:18" x14ac:dyDescent="0.3">
      <c r="C44" s="12"/>
      <c r="F44" s="13"/>
      <c r="H44" s="13"/>
      <c r="J44" s="13"/>
      <c r="L44" s="13"/>
      <c r="N44" s="13"/>
      <c r="P44" s="13"/>
      <c r="R44" s="13"/>
    </row>
    <row r="45" spans="1:18" ht="15.6" x14ac:dyDescent="0.3">
      <c r="B45" s="10" t="s">
        <v>84</v>
      </c>
      <c r="C45" s="42" t="s">
        <v>41</v>
      </c>
      <c r="D45" s="40">
        <f>IF(D12&gt;0,D38/D21*100,"")</f>
        <v>26.444008674943564</v>
      </c>
      <c r="F45" s="40" t="str">
        <f>IF(F12&gt;0,F38/F21*100,"")</f>
        <v/>
      </c>
      <c r="H45" s="40" t="str">
        <f>IF(H12&gt;0,H38/H21*100,"")</f>
        <v/>
      </c>
      <c r="J45" s="40" t="str">
        <f>IF(J12&gt;0,J38/J21*100,"")</f>
        <v/>
      </c>
      <c r="L45" s="40" t="str">
        <f>IF(L12&gt;0,L38/L21*100,"")</f>
        <v/>
      </c>
      <c r="N45" s="40" t="str">
        <f>IF(N12&gt;0,N38/N21*100,"")</f>
        <v/>
      </c>
      <c r="P45" s="40" t="str">
        <f>IF(P12&gt;0,P38/P21*100,"")</f>
        <v/>
      </c>
      <c r="R45" s="40" t="str">
        <f>IF(R12&gt;0,R38/R21*100,"")</f>
        <v/>
      </c>
    </row>
    <row r="47" spans="1:18" ht="15.6" x14ac:dyDescent="0.3">
      <c r="B47" s="44" t="s">
        <v>85</v>
      </c>
      <c r="C47" s="45" t="s">
        <v>48</v>
      </c>
      <c r="D47" s="39">
        <f>IF(D12&gt;0,D21-D38,"")</f>
        <v>1688.1100009100451</v>
      </c>
      <c r="F47" s="39" t="str">
        <f>IF(F12&gt;0,F21-F38,"")</f>
        <v/>
      </c>
      <c r="H47" s="39" t="str">
        <f>IF(H12&gt;0,H21-H38,"")</f>
        <v/>
      </c>
      <c r="J47" s="39" t="str">
        <f>IF(J12&gt;0,J21-J38,"")</f>
        <v/>
      </c>
      <c r="L47" s="39" t="str">
        <f>IF(L12&gt;0,L21-L38,"")</f>
        <v/>
      </c>
      <c r="N47" s="39" t="str">
        <f>IF(N12&gt;0,N21-N38,"")</f>
        <v/>
      </c>
      <c r="P47" s="39" t="str">
        <f>IF(P12&gt;0,P21-P38,"")</f>
        <v/>
      </c>
      <c r="R47" s="39" t="str">
        <f>IF(R12&gt;0,R21-R38,"")</f>
        <v/>
      </c>
    </row>
    <row r="48" spans="1:18" x14ac:dyDescent="0.3">
      <c r="B48" s="2" t="s">
        <v>114</v>
      </c>
    </row>
  </sheetData>
  <sheetProtection sheet="1" objects="1" scenarios="1"/>
  <pageMargins left="0.25" right="0.25" top="0.75" bottom="0.75" header="0.3" footer="0.3"/>
  <pageSetup paperSize="9" scale="92" orientation="portrait" horizontalDpi="4294967293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28F046B-9073-4BF9-9981-162318FA1632}">
          <x14:formula1>
            <xm:f>'AE Tables'!$B$7:$E$7</xm:f>
          </x14:formula1>
          <xm:sqref>D3</xm:sqref>
        </x14:dataValidation>
        <x14:dataValidation type="list" allowBlank="1" showInputMessage="1" showErrorMessage="1" xr:uid="{D65980D1-E645-4002-8C4E-5E64C15D4576}">
          <x14:formula1>
            <xm:f>'AE Tables'!$B$7:$B$17</xm:f>
          </x14:formula1>
          <xm:sqref>D28 F28 H28 J28 L28 N28 P28 R28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E18B2-154C-4C18-8207-77724189DB1A}">
  <dimension ref="B1:F55"/>
  <sheetViews>
    <sheetView topLeftCell="A8" workbookViewId="0">
      <selection activeCell="B54" sqref="B54"/>
    </sheetView>
  </sheetViews>
  <sheetFormatPr defaultRowHeight="14.4" x14ac:dyDescent="0.3"/>
  <cols>
    <col min="1" max="1" width="15.44140625" customWidth="1"/>
    <col min="2" max="2" width="13.5546875" customWidth="1"/>
    <col min="3" max="3" width="10.109375" customWidth="1"/>
    <col min="7" max="7" width="22.33203125" customWidth="1"/>
  </cols>
  <sheetData>
    <row r="1" spans="2:6" ht="18" x14ac:dyDescent="0.35">
      <c r="B1" s="73" t="s">
        <v>123</v>
      </c>
    </row>
    <row r="3" spans="2:6" ht="60.75" customHeight="1" x14ac:dyDescent="0.3">
      <c r="B3" s="157" t="s">
        <v>125</v>
      </c>
      <c r="C3" s="157"/>
      <c r="D3" s="157"/>
      <c r="E3" s="157"/>
      <c r="F3" s="157"/>
    </row>
    <row r="4" spans="2:6" x14ac:dyDescent="0.3">
      <c r="B4" s="97"/>
      <c r="C4" s="97"/>
      <c r="D4" s="97"/>
      <c r="E4" s="97"/>
      <c r="F4" s="97"/>
    </row>
    <row r="5" spans="2:6" x14ac:dyDescent="0.3">
      <c r="B5" s="96" t="s">
        <v>124</v>
      </c>
      <c r="C5" s="97"/>
      <c r="D5" s="97"/>
      <c r="E5" s="97"/>
    </row>
    <row r="6" spans="2:6" x14ac:dyDescent="0.3">
      <c r="B6" s="97"/>
      <c r="C6" s="97"/>
      <c r="D6" s="97"/>
      <c r="E6" s="97"/>
    </row>
    <row r="7" spans="2:6" x14ac:dyDescent="0.3">
      <c r="B7" s="89"/>
      <c r="C7" s="98" t="s">
        <v>126</v>
      </c>
      <c r="D7" s="99" t="s">
        <v>127</v>
      </c>
      <c r="E7" s="100" t="s">
        <v>128</v>
      </c>
    </row>
    <row r="8" spans="2:6" ht="16.2" x14ac:dyDescent="0.3">
      <c r="B8" s="78" t="s">
        <v>129</v>
      </c>
      <c r="C8" s="101">
        <v>0.56741431757114125</v>
      </c>
      <c r="D8" s="102">
        <v>0.68055430137232242</v>
      </c>
      <c r="E8" s="103">
        <v>0.77136581793962056</v>
      </c>
    </row>
    <row r="9" spans="2:6" x14ac:dyDescent="0.3">
      <c r="B9" s="104" t="s">
        <v>92</v>
      </c>
      <c r="C9" s="105">
        <v>0.71999709271367085</v>
      </c>
      <c r="D9" s="106">
        <v>0.91464923496839734</v>
      </c>
      <c r="E9" s="107">
        <v>1.1027431507974061</v>
      </c>
    </row>
    <row r="10" spans="2:6" x14ac:dyDescent="0.3">
      <c r="B10" s="104" t="s">
        <v>93</v>
      </c>
      <c r="C10" s="105">
        <v>0.96158697013057137</v>
      </c>
      <c r="D10" s="106">
        <v>1.1173516196742197</v>
      </c>
      <c r="E10" s="107">
        <v>1.7359933879577305</v>
      </c>
    </row>
    <row r="11" spans="2:6" x14ac:dyDescent="0.3">
      <c r="B11" s="104" t="s">
        <v>94</v>
      </c>
      <c r="C11" s="105">
        <v>1.1783280876043076</v>
      </c>
      <c r="D11" s="106">
        <v>1.4866504318489144</v>
      </c>
      <c r="E11" s="107">
        <v>1.6098897580992886</v>
      </c>
    </row>
    <row r="12" spans="2:6" x14ac:dyDescent="0.3">
      <c r="B12" s="77" t="s">
        <v>95</v>
      </c>
      <c r="C12" s="108">
        <v>1.0880145488613289</v>
      </c>
      <c r="D12" s="109">
        <v>1.285653496559656</v>
      </c>
      <c r="E12" s="110">
        <v>1.5296026222026848</v>
      </c>
    </row>
    <row r="13" spans="2:6" x14ac:dyDescent="0.3">
      <c r="B13" s="78" t="s">
        <v>96</v>
      </c>
      <c r="C13" s="101">
        <v>0.60083595854148875</v>
      </c>
      <c r="D13" s="102">
        <v>0.72364394158175482</v>
      </c>
      <c r="E13" s="103">
        <v>0.80437686995951951</v>
      </c>
    </row>
    <row r="14" spans="2:6" x14ac:dyDescent="0.3">
      <c r="B14" s="104" t="s">
        <v>97</v>
      </c>
      <c r="C14" s="105">
        <v>0.78322423129848451</v>
      </c>
      <c r="D14" s="106">
        <v>1.0321258487924401</v>
      </c>
      <c r="E14" s="107">
        <v>1.308316767738448</v>
      </c>
    </row>
    <row r="15" spans="2:6" x14ac:dyDescent="0.3">
      <c r="B15" s="104" t="s">
        <v>98</v>
      </c>
      <c r="C15" s="105">
        <v>1.0178737911718081</v>
      </c>
      <c r="D15" s="106">
        <v>1.2741185529537269</v>
      </c>
      <c r="E15" s="107">
        <v>1.6</v>
      </c>
    </row>
    <row r="16" spans="2:6" ht="19.5" customHeight="1" x14ac:dyDescent="0.3">
      <c r="B16" s="77" t="s">
        <v>130</v>
      </c>
      <c r="C16" s="108">
        <v>1.1544568229122241</v>
      </c>
      <c r="D16" s="109">
        <v>1.3931825572215213</v>
      </c>
      <c r="E16" s="110">
        <v>1.52</v>
      </c>
    </row>
    <row r="17" spans="2:5" x14ac:dyDescent="0.3">
      <c r="B17" s="74" t="s">
        <v>131</v>
      </c>
      <c r="C17" s="111">
        <v>0.68664807920034476</v>
      </c>
      <c r="D17" s="112">
        <v>0.85732764671030415</v>
      </c>
      <c r="E17" s="113">
        <v>1.55</v>
      </c>
    </row>
    <row r="18" spans="2:5" x14ac:dyDescent="0.3">
      <c r="B18" s="114" t="s">
        <v>132</v>
      </c>
      <c r="C18" s="72"/>
      <c r="D18" s="72"/>
      <c r="E18" s="72"/>
    </row>
    <row r="19" spans="2:5" x14ac:dyDescent="0.3">
      <c r="B19" s="150" t="s">
        <v>42</v>
      </c>
      <c r="C19" s="111">
        <v>8.5</v>
      </c>
      <c r="D19" s="112">
        <v>8</v>
      </c>
      <c r="E19" s="113">
        <v>7.5</v>
      </c>
    </row>
    <row r="20" spans="2:5" x14ac:dyDescent="0.3">
      <c r="B20" s="115"/>
      <c r="C20" s="72"/>
      <c r="D20" s="72"/>
      <c r="E20" s="72"/>
    </row>
    <row r="21" spans="2:5" x14ac:dyDescent="0.3">
      <c r="B21" s="96" t="s">
        <v>134</v>
      </c>
    </row>
    <row r="23" spans="2:5" x14ac:dyDescent="0.3">
      <c r="B23" s="66" t="s">
        <v>135</v>
      </c>
    </row>
    <row r="24" spans="2:5" x14ac:dyDescent="0.3">
      <c r="B24" s="116" t="s">
        <v>136</v>
      </c>
      <c r="C24" s="117" t="s">
        <v>100</v>
      </c>
      <c r="D24" s="118" t="s">
        <v>137</v>
      </c>
      <c r="E24" s="119" t="s">
        <v>99</v>
      </c>
    </row>
    <row r="25" spans="2:5" ht="16.2" x14ac:dyDescent="0.3">
      <c r="B25" s="120" t="s">
        <v>138</v>
      </c>
      <c r="C25" s="101">
        <v>0.11405967646519771</v>
      </c>
      <c r="D25" s="102">
        <v>0.14611973551995833</v>
      </c>
      <c r="E25" s="103">
        <v>0.1762337804691736</v>
      </c>
    </row>
    <row r="26" spans="2:5" x14ac:dyDescent="0.3">
      <c r="B26" s="121" t="s">
        <v>139</v>
      </c>
      <c r="C26" s="105">
        <v>0.13112427766034099</v>
      </c>
      <c r="D26" s="106">
        <v>0.15345918472318912</v>
      </c>
      <c r="E26" s="107">
        <v>0.17724586051512936</v>
      </c>
    </row>
    <row r="27" spans="2:5" x14ac:dyDescent="0.3">
      <c r="B27" s="121" t="s">
        <v>140</v>
      </c>
      <c r="C27" s="105">
        <v>0.18250571450442124</v>
      </c>
      <c r="D27" s="106">
        <v>0.21899019074862536</v>
      </c>
      <c r="E27" s="107">
        <v>0.25157233796710704</v>
      </c>
    </row>
    <row r="28" spans="2:5" x14ac:dyDescent="0.3">
      <c r="B28" s="122" t="s">
        <v>141</v>
      </c>
      <c r="C28" s="108">
        <v>0.16574281093818535</v>
      </c>
      <c r="D28" s="109">
        <v>0.19635811013702839</v>
      </c>
      <c r="E28" s="110">
        <v>0.22959564512060404</v>
      </c>
    </row>
    <row r="29" spans="2:5" ht="16.2" x14ac:dyDescent="0.3">
      <c r="B29" s="120" t="s">
        <v>142</v>
      </c>
      <c r="C29" s="101">
        <v>0.1153464970880432</v>
      </c>
      <c r="D29" s="102">
        <v>0.1464773951486642</v>
      </c>
      <c r="E29" s="103">
        <v>0.17711339025979653</v>
      </c>
    </row>
    <row r="30" spans="2:5" x14ac:dyDescent="0.3">
      <c r="B30" s="121" t="s">
        <v>143</v>
      </c>
      <c r="C30" s="105">
        <v>0.1455394861796501</v>
      </c>
      <c r="D30" s="106">
        <v>0.16343805407217332</v>
      </c>
      <c r="E30" s="107">
        <v>0.18243245162117361</v>
      </c>
    </row>
    <row r="31" spans="2:5" x14ac:dyDescent="0.3">
      <c r="B31" s="121" t="s">
        <v>144</v>
      </c>
      <c r="C31" s="105">
        <v>0.15691757252958358</v>
      </c>
      <c r="D31" s="106">
        <v>0.17628685753151216</v>
      </c>
      <c r="E31" s="107">
        <v>0.20049820221978801</v>
      </c>
    </row>
    <row r="32" spans="2:5" x14ac:dyDescent="0.3">
      <c r="B32" s="122" t="s">
        <v>145</v>
      </c>
      <c r="C32" s="108">
        <v>0.13656587402663925</v>
      </c>
      <c r="D32" s="109">
        <v>0.15487390539830695</v>
      </c>
      <c r="E32" s="110">
        <v>0.1740630067551695</v>
      </c>
    </row>
    <row r="33" spans="2:5" x14ac:dyDescent="0.3">
      <c r="B33" s="122" t="s">
        <v>146</v>
      </c>
      <c r="C33" s="108">
        <v>0.24098306464007727</v>
      </c>
      <c r="D33" s="109">
        <v>0.26884212073641628</v>
      </c>
      <c r="E33" s="110">
        <v>0.28756795239467003</v>
      </c>
    </row>
    <row r="35" spans="2:5" x14ac:dyDescent="0.3">
      <c r="B35" s="66" t="s">
        <v>147</v>
      </c>
    </row>
    <row r="36" spans="2:5" ht="57.6" x14ac:dyDescent="0.3">
      <c r="B36" s="116" t="s">
        <v>136</v>
      </c>
      <c r="C36" s="123" t="s">
        <v>148</v>
      </c>
      <c r="D36" s="123" t="s">
        <v>149</v>
      </c>
      <c r="E36" s="124" t="s">
        <v>99</v>
      </c>
    </row>
    <row r="37" spans="2:5" ht="16.2" x14ac:dyDescent="0.3">
      <c r="B37" s="120" t="s">
        <v>150</v>
      </c>
      <c r="C37" s="102">
        <v>0.10626379406304105</v>
      </c>
      <c r="D37" s="102">
        <v>0.16497614072319855</v>
      </c>
      <c r="E37" s="103">
        <v>0.22199327855480086</v>
      </c>
    </row>
    <row r="38" spans="2:5" x14ac:dyDescent="0.3">
      <c r="B38" s="121" t="s">
        <v>151</v>
      </c>
      <c r="C38" s="106">
        <v>0.1331216386553076</v>
      </c>
      <c r="D38" s="106">
        <v>0.16737164024385137</v>
      </c>
      <c r="E38" s="107">
        <v>0.18994804918224539</v>
      </c>
    </row>
    <row r="39" spans="2:5" x14ac:dyDescent="0.3">
      <c r="B39" s="121" t="s">
        <v>152</v>
      </c>
      <c r="C39" s="106">
        <v>0.17185087486656536</v>
      </c>
      <c r="D39" s="106">
        <v>0.27071821154550857</v>
      </c>
      <c r="E39" s="107">
        <v>0.29950138474533683</v>
      </c>
    </row>
    <row r="40" spans="2:5" x14ac:dyDescent="0.3">
      <c r="B40" s="122" t="s">
        <v>153</v>
      </c>
      <c r="C40" s="109">
        <v>0.15822516838865039</v>
      </c>
      <c r="D40" s="109">
        <v>0.24981455582136294</v>
      </c>
      <c r="E40" s="110">
        <v>0.28378572917682093</v>
      </c>
    </row>
    <row r="41" spans="2:5" ht="16.2" x14ac:dyDescent="0.3">
      <c r="B41" s="120" t="s">
        <v>154</v>
      </c>
      <c r="C41" s="102">
        <v>0.10982011925775344</v>
      </c>
      <c r="D41" s="102">
        <v>0.18499746583911686</v>
      </c>
      <c r="E41" s="103">
        <v>0.22957442581949195</v>
      </c>
    </row>
    <row r="42" spans="2:5" x14ac:dyDescent="0.3">
      <c r="B42" s="121" t="s">
        <v>143</v>
      </c>
      <c r="C42" s="106">
        <v>0.13934234220754838</v>
      </c>
      <c r="D42" s="106">
        <v>0.21832212426215639</v>
      </c>
      <c r="E42" s="107">
        <v>0.26541846591578028</v>
      </c>
    </row>
    <row r="43" spans="2:5" x14ac:dyDescent="0.3">
      <c r="B43" s="121" t="s">
        <v>144</v>
      </c>
      <c r="C43" s="106">
        <v>0.15957622991309844</v>
      </c>
      <c r="D43" s="106"/>
      <c r="E43" s="107"/>
    </row>
    <row r="44" spans="2:5" x14ac:dyDescent="0.3">
      <c r="B44" s="125" t="s">
        <v>155</v>
      </c>
      <c r="C44" s="112">
        <v>0.18580678054626176</v>
      </c>
      <c r="D44" s="112">
        <v>0.25659838705189275</v>
      </c>
      <c r="E44" s="113">
        <v>0.30484534278113656</v>
      </c>
    </row>
    <row r="45" spans="2:5" x14ac:dyDescent="0.3">
      <c r="C45" s="72"/>
      <c r="D45" s="72"/>
      <c r="E45" s="72"/>
    </row>
    <row r="46" spans="2:5" x14ac:dyDescent="0.3">
      <c r="C46" s="126" t="s">
        <v>100</v>
      </c>
      <c r="D46" s="126" t="s">
        <v>99</v>
      </c>
    </row>
    <row r="47" spans="2:5" x14ac:dyDescent="0.3">
      <c r="B47" s="74" t="s">
        <v>101</v>
      </c>
      <c r="C47" s="74">
        <v>0.9</v>
      </c>
      <c r="D47" s="74">
        <v>1.5</v>
      </c>
    </row>
    <row r="48" spans="2:5" x14ac:dyDescent="0.3">
      <c r="B48" t="s">
        <v>102</v>
      </c>
    </row>
    <row r="49" spans="2:4" x14ac:dyDescent="0.3">
      <c r="B49" t="s">
        <v>103</v>
      </c>
    </row>
    <row r="50" spans="2:4" x14ac:dyDescent="0.3">
      <c r="B50" s="74" t="s">
        <v>104</v>
      </c>
      <c r="C50" s="74">
        <v>6.6000000000000003E-2</v>
      </c>
      <c r="D50" t="s">
        <v>105</v>
      </c>
    </row>
    <row r="52" spans="2:4" x14ac:dyDescent="0.3">
      <c r="B52" t="s">
        <v>165</v>
      </c>
    </row>
    <row r="53" spans="2:4" ht="16.2" x14ac:dyDescent="0.3">
      <c r="B53" t="s">
        <v>133</v>
      </c>
    </row>
    <row r="54" spans="2:4" x14ac:dyDescent="0.3">
      <c r="B54" t="s">
        <v>161</v>
      </c>
    </row>
    <row r="55" spans="2:4" ht="16.2" x14ac:dyDescent="0.3">
      <c r="B55" t="s">
        <v>156</v>
      </c>
    </row>
  </sheetData>
  <mergeCells count="1">
    <mergeCell ref="B3:F3"/>
  </mergeCells>
  <dataValidations count="2">
    <dataValidation type="list" allowBlank="1" showInputMessage="1" showErrorMessage="1" sqref="K14" xr:uid="{91950CA4-1AD9-42DE-BBA3-052AED48290C}">
      <formula1>$C$12:$E$12</formula1>
    </dataValidation>
    <dataValidation type="list" allowBlank="1" showInputMessage="1" showErrorMessage="1" sqref="K15" xr:uid="{4AECCBD2-E8D1-45AF-A968-6EBE77227010}">
      <formula1>$B$16:$B$22</formula1>
    </dataValidation>
  </dataValidation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F09ED-061C-4EE5-9EB1-2B9B355F623E}">
  <dimension ref="B1:F54"/>
  <sheetViews>
    <sheetView workbookViewId="0">
      <selection activeCell="G4" sqref="G4"/>
    </sheetView>
  </sheetViews>
  <sheetFormatPr defaultRowHeight="14.4" x14ac:dyDescent="0.3"/>
  <cols>
    <col min="1" max="1" width="1.6640625" customWidth="1"/>
    <col min="2" max="2" width="14.109375" customWidth="1"/>
    <col min="3" max="3" width="10.109375" customWidth="1"/>
    <col min="7" max="7" width="19.109375" customWidth="1"/>
  </cols>
  <sheetData>
    <row r="1" spans="2:6" ht="18" x14ac:dyDescent="0.35">
      <c r="B1" s="73" t="s">
        <v>157</v>
      </c>
    </row>
    <row r="3" spans="2:6" ht="65.25" customHeight="1" x14ac:dyDescent="0.3">
      <c r="B3" s="158" t="s">
        <v>158</v>
      </c>
      <c r="C3" s="158"/>
      <c r="D3" s="158"/>
      <c r="E3" s="158"/>
      <c r="F3" s="158"/>
    </row>
    <row r="4" spans="2:6" x14ac:dyDescent="0.3">
      <c r="B4" s="96" t="s">
        <v>124</v>
      </c>
      <c r="C4" s="144"/>
      <c r="D4" s="144"/>
      <c r="E4" s="144"/>
    </row>
    <row r="6" spans="2:6" x14ac:dyDescent="0.3">
      <c r="B6" s="74"/>
      <c r="C6" s="75" t="s">
        <v>126</v>
      </c>
      <c r="D6" s="75" t="s">
        <v>127</v>
      </c>
      <c r="E6" s="75" t="s">
        <v>128</v>
      </c>
    </row>
    <row r="7" spans="2:6" x14ac:dyDescent="0.3">
      <c r="B7" s="78" t="s">
        <v>159</v>
      </c>
      <c r="C7" s="127">
        <v>4.744975776525056</v>
      </c>
      <c r="D7" s="127">
        <v>5.6911036162155542</v>
      </c>
      <c r="E7" s="127">
        <v>6.4505106896673245</v>
      </c>
    </row>
    <row r="8" spans="2:6" x14ac:dyDescent="0.3">
      <c r="B8" s="104" t="s">
        <v>92</v>
      </c>
      <c r="C8" s="128">
        <v>6.0209421198937161</v>
      </c>
      <c r="D8" s="128">
        <v>7.6487115843672395</v>
      </c>
      <c r="E8" s="128">
        <v>9.2216381861153351</v>
      </c>
    </row>
    <row r="9" spans="2:6" x14ac:dyDescent="0.3">
      <c r="B9" s="104" t="s">
        <v>93</v>
      </c>
      <c r="C9" s="128">
        <v>8.0412262063154962</v>
      </c>
      <c r="D9" s="128">
        <v>9.3438008260171905</v>
      </c>
      <c r="E9" s="128">
        <v>14.517163770782584</v>
      </c>
    </row>
    <row r="10" spans="2:6" x14ac:dyDescent="0.3">
      <c r="B10" s="104" t="s">
        <v>94</v>
      </c>
      <c r="C10" s="128">
        <v>9.8537136962190388</v>
      </c>
      <c r="D10" s="128">
        <v>12.432044925266062</v>
      </c>
      <c r="E10" s="128">
        <v>13.462628045333309</v>
      </c>
    </row>
    <row r="11" spans="2:6" x14ac:dyDescent="0.3">
      <c r="B11" s="77" t="s">
        <v>95</v>
      </c>
      <c r="C11" s="129">
        <v>9.0984709391062673</v>
      </c>
      <c r="D11" s="129">
        <v>10.751217424850145</v>
      </c>
      <c r="E11" s="129">
        <v>12.791230614569331</v>
      </c>
    </row>
    <row r="12" spans="2:6" x14ac:dyDescent="0.3">
      <c r="B12" s="78" t="s">
        <v>96</v>
      </c>
      <c r="C12" s="127">
        <v>5.0244626909456338</v>
      </c>
      <c r="D12" s="127">
        <v>6.051438723528566</v>
      </c>
      <c r="E12" s="127">
        <v>6.7265640731323799</v>
      </c>
    </row>
    <row r="13" spans="2:6" x14ac:dyDescent="0.3">
      <c r="B13" s="104" t="s">
        <v>97</v>
      </c>
      <c r="C13" s="128">
        <v>6.5496761185142542</v>
      </c>
      <c r="D13" s="128">
        <v>8.6311042904402271</v>
      </c>
      <c r="E13" s="128">
        <v>10.940737973468842</v>
      </c>
    </row>
    <row r="14" spans="2:6" x14ac:dyDescent="0.3">
      <c r="B14" s="104" t="s">
        <v>98</v>
      </c>
      <c r="C14" s="128">
        <v>8.5119221230514768</v>
      </c>
      <c r="D14" s="128">
        <v>10.654756996731226</v>
      </c>
      <c r="E14" s="128">
        <v>13.379925404311331</v>
      </c>
    </row>
    <row r="15" spans="2:6" x14ac:dyDescent="0.3">
      <c r="B15" s="77" t="s">
        <v>130</v>
      </c>
      <c r="C15" s="129">
        <v>9.6540913581648837</v>
      </c>
      <c r="D15" s="129">
        <v>11.650424181382286</v>
      </c>
      <c r="E15" s="129">
        <v>12.768000000000001</v>
      </c>
    </row>
    <row r="16" spans="2:6" ht="19.5" customHeight="1" x14ac:dyDescent="0.3">
      <c r="B16" s="74" t="s">
        <v>131</v>
      </c>
      <c r="C16" s="130">
        <v>5.7420625491964197</v>
      </c>
      <c r="D16" s="130">
        <v>7.1693624750235303</v>
      </c>
      <c r="E16" s="130">
        <v>12.961802735426602</v>
      </c>
    </row>
    <row r="17" spans="2:5" x14ac:dyDescent="0.3">
      <c r="B17" s="131" t="s">
        <v>132</v>
      </c>
      <c r="C17" s="72"/>
      <c r="D17" s="72"/>
      <c r="E17" s="72"/>
    </row>
    <row r="18" spans="2:5" x14ac:dyDescent="0.3">
      <c r="B18" s="74" t="s">
        <v>160</v>
      </c>
      <c r="C18" s="111">
        <v>1.0164481182845575</v>
      </c>
      <c r="D18" s="112">
        <v>0.95665705250311295</v>
      </c>
      <c r="E18" s="113">
        <v>0.8968659867216684</v>
      </c>
    </row>
    <row r="20" spans="2:5" x14ac:dyDescent="0.3">
      <c r="B20" s="96" t="s">
        <v>134</v>
      </c>
    </row>
    <row r="22" spans="2:5" x14ac:dyDescent="0.3">
      <c r="B22" s="66" t="s">
        <v>162</v>
      </c>
    </row>
    <row r="23" spans="2:5" x14ac:dyDescent="0.3">
      <c r="B23" s="116" t="s">
        <v>136</v>
      </c>
      <c r="C23" s="117" t="s">
        <v>100</v>
      </c>
      <c r="D23" s="118" t="s">
        <v>137</v>
      </c>
      <c r="E23" s="119" t="s">
        <v>99</v>
      </c>
    </row>
    <row r="24" spans="2:5" ht="16.2" x14ac:dyDescent="0.3">
      <c r="B24" s="120" t="s">
        <v>138</v>
      </c>
      <c r="C24" s="132">
        <v>0.95810128230766078</v>
      </c>
      <c r="D24" s="133">
        <v>1.22740577836765</v>
      </c>
      <c r="E24" s="134">
        <v>1.4803637559410583</v>
      </c>
    </row>
    <row r="25" spans="2:5" x14ac:dyDescent="0.3">
      <c r="B25" s="121" t="s">
        <v>139</v>
      </c>
      <c r="C25" s="135">
        <v>1.1014439323468643</v>
      </c>
      <c r="D25" s="136">
        <v>1.2890571516747886</v>
      </c>
      <c r="E25" s="137">
        <v>1.4888652283270867</v>
      </c>
    </row>
    <row r="26" spans="2:5" x14ac:dyDescent="0.3">
      <c r="B26" s="121" t="s">
        <v>140</v>
      </c>
      <c r="C26" s="135">
        <v>1.5330480018371384</v>
      </c>
      <c r="D26" s="136">
        <v>1.8395176022884532</v>
      </c>
      <c r="E26" s="137">
        <v>2.1132076389236993</v>
      </c>
    </row>
    <row r="27" spans="2:5" x14ac:dyDescent="0.3">
      <c r="B27" s="122" t="s">
        <v>141</v>
      </c>
      <c r="C27" s="138">
        <v>1.392239611880757</v>
      </c>
      <c r="D27" s="139">
        <v>1.6494081251510386</v>
      </c>
      <c r="E27" s="140">
        <v>1.9286034190130741</v>
      </c>
    </row>
    <row r="28" spans="2:5" ht="16.2" x14ac:dyDescent="0.3">
      <c r="B28" s="120" t="s">
        <v>142</v>
      </c>
      <c r="C28" s="132">
        <v>0.96891057553956295</v>
      </c>
      <c r="D28" s="133">
        <v>1.2304101192487793</v>
      </c>
      <c r="E28" s="134">
        <v>1.4877524781822908</v>
      </c>
    </row>
    <row r="29" spans="2:5" x14ac:dyDescent="0.3">
      <c r="B29" s="121" t="s">
        <v>143</v>
      </c>
      <c r="C29" s="135">
        <v>1.222531683909061</v>
      </c>
      <c r="D29" s="136">
        <v>1.372879654206256</v>
      </c>
      <c r="E29" s="137">
        <v>1.5324325936178584</v>
      </c>
    </row>
    <row r="30" spans="2:5" x14ac:dyDescent="0.3">
      <c r="B30" s="121" t="s">
        <v>144</v>
      </c>
      <c r="C30" s="135">
        <v>1.318107609248502</v>
      </c>
      <c r="D30" s="136">
        <v>1.4808096032647022</v>
      </c>
      <c r="E30" s="137">
        <v>1.6841848986462193</v>
      </c>
    </row>
    <row r="31" spans="2:5" x14ac:dyDescent="0.3">
      <c r="B31" s="122" t="s">
        <v>145</v>
      </c>
      <c r="C31" s="138">
        <v>1.1471533418237698</v>
      </c>
      <c r="D31" s="139">
        <v>1.3009408053457785</v>
      </c>
      <c r="E31" s="140">
        <v>1.4621292567434239</v>
      </c>
    </row>
    <row r="32" spans="2:5" x14ac:dyDescent="0.3">
      <c r="B32" s="122" t="s">
        <v>146</v>
      </c>
      <c r="C32" s="138">
        <v>2.0242577429766491</v>
      </c>
      <c r="D32" s="139">
        <v>2.2582738141858969</v>
      </c>
      <c r="E32" s="140">
        <v>2.4155708001152285</v>
      </c>
    </row>
    <row r="34" spans="2:5" x14ac:dyDescent="0.3">
      <c r="B34" s="66" t="s">
        <v>163</v>
      </c>
    </row>
    <row r="35" spans="2:5" ht="57.6" x14ac:dyDescent="0.3">
      <c r="B35" s="116" t="s">
        <v>136</v>
      </c>
      <c r="C35" s="123" t="s">
        <v>148</v>
      </c>
      <c r="D35" s="123" t="s">
        <v>149</v>
      </c>
      <c r="E35" s="124" t="s">
        <v>164</v>
      </c>
    </row>
    <row r="36" spans="2:5" ht="16.2" x14ac:dyDescent="0.3">
      <c r="B36" s="120" t="s">
        <v>150</v>
      </c>
      <c r="C36" s="133">
        <v>0.89261587012954491</v>
      </c>
      <c r="D36" s="133">
        <v>1.3857995820748679</v>
      </c>
      <c r="E36" s="134">
        <v>1.8647435398603274</v>
      </c>
    </row>
    <row r="37" spans="2:5" x14ac:dyDescent="0.3">
      <c r="B37" s="121" t="s">
        <v>151</v>
      </c>
      <c r="C37" s="136">
        <v>1.1182217647045838</v>
      </c>
      <c r="D37" s="136">
        <v>1.4059217780483515</v>
      </c>
      <c r="E37" s="137">
        <v>1.5955636131308613</v>
      </c>
    </row>
    <row r="38" spans="2:5" x14ac:dyDescent="0.3">
      <c r="B38" s="121" t="s">
        <v>152</v>
      </c>
      <c r="C38" s="136">
        <v>1.443547348879149</v>
      </c>
      <c r="D38" s="136">
        <v>2.274032976982272</v>
      </c>
      <c r="E38" s="137">
        <v>2.5158116318608297</v>
      </c>
    </row>
    <row r="39" spans="2:5" x14ac:dyDescent="0.3">
      <c r="B39" s="122" t="s">
        <v>153</v>
      </c>
      <c r="C39" s="139">
        <v>1.3290914144646633</v>
      </c>
      <c r="D39" s="139">
        <v>2.0984422688994488</v>
      </c>
      <c r="E39" s="140">
        <v>2.3838001250852958</v>
      </c>
    </row>
    <row r="40" spans="2:5" ht="16.2" x14ac:dyDescent="0.3">
      <c r="B40" s="120" t="s">
        <v>154</v>
      </c>
      <c r="C40" s="133">
        <v>0.92248900176512894</v>
      </c>
      <c r="D40" s="133">
        <v>1.5539787130485816</v>
      </c>
      <c r="E40" s="134">
        <v>1.9284251768837324</v>
      </c>
    </row>
    <row r="41" spans="2:5" x14ac:dyDescent="0.3">
      <c r="B41" s="121" t="s">
        <v>143</v>
      </c>
      <c r="C41" s="136">
        <v>1.1704756745434064</v>
      </c>
      <c r="D41" s="136">
        <v>1.8339058438021136</v>
      </c>
      <c r="E41" s="137">
        <v>2.2295151136925546</v>
      </c>
    </row>
    <row r="42" spans="2:5" x14ac:dyDescent="0.3">
      <c r="B42" s="121" t="s">
        <v>144</v>
      </c>
      <c r="C42" s="136">
        <v>1.340440331270027</v>
      </c>
      <c r="D42" s="136"/>
      <c r="E42" s="137"/>
    </row>
    <row r="43" spans="2:5" x14ac:dyDescent="0.3">
      <c r="B43" s="125" t="s">
        <v>155</v>
      </c>
      <c r="C43" s="141">
        <v>1.5607769565885989</v>
      </c>
      <c r="D43" s="141">
        <v>2.1554264512358992</v>
      </c>
      <c r="E43" s="142">
        <v>2.5607008793615473</v>
      </c>
    </row>
    <row r="44" spans="2:5" x14ac:dyDescent="0.3">
      <c r="C44" s="143"/>
      <c r="D44" s="143"/>
      <c r="E44" s="143"/>
    </row>
    <row r="45" spans="2:5" x14ac:dyDescent="0.3">
      <c r="C45" s="126" t="s">
        <v>100</v>
      </c>
      <c r="D45" s="126" t="s">
        <v>99</v>
      </c>
    </row>
    <row r="46" spans="2:5" x14ac:dyDescent="0.3">
      <c r="B46" s="74" t="s">
        <v>101</v>
      </c>
      <c r="C46" s="74">
        <v>7.6</v>
      </c>
      <c r="D46" s="74">
        <v>12.6</v>
      </c>
    </row>
    <row r="47" spans="2:5" x14ac:dyDescent="0.3">
      <c r="B47" t="s">
        <v>102</v>
      </c>
    </row>
    <row r="48" spans="2:5" x14ac:dyDescent="0.3">
      <c r="B48" t="s">
        <v>103</v>
      </c>
    </row>
    <row r="49" spans="2:4" x14ac:dyDescent="0.3">
      <c r="B49" s="74" t="s">
        <v>104</v>
      </c>
      <c r="C49" s="74">
        <v>0.55000000000000004</v>
      </c>
      <c r="D49" t="s">
        <v>105</v>
      </c>
    </row>
    <row r="51" spans="2:4" x14ac:dyDescent="0.3">
      <c r="B51" t="s">
        <v>166</v>
      </c>
    </row>
    <row r="52" spans="2:4" ht="16.2" x14ac:dyDescent="0.3">
      <c r="B52" t="s">
        <v>133</v>
      </c>
    </row>
    <row r="53" spans="2:4" x14ac:dyDescent="0.3">
      <c r="B53" t="s">
        <v>167</v>
      </c>
    </row>
    <row r="54" spans="2:4" ht="16.2" x14ac:dyDescent="0.3">
      <c r="B54" t="s">
        <v>156</v>
      </c>
    </row>
  </sheetData>
  <mergeCells count="1">
    <mergeCell ref="B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0D84D-DDDF-433B-BBAC-D59D0FFB786A}">
  <sheetPr>
    <tabColor rgb="FFFFFF00"/>
  </sheetPr>
  <dimension ref="A1:G45"/>
  <sheetViews>
    <sheetView workbookViewId="0">
      <selection activeCell="A3" sqref="A3"/>
    </sheetView>
  </sheetViews>
  <sheetFormatPr defaultRowHeight="14.4" x14ac:dyDescent="0.3"/>
  <cols>
    <col min="1" max="1" width="19" customWidth="1"/>
    <col min="2" max="2" width="17.44140625" customWidth="1"/>
    <col min="3" max="3" width="14.6640625" customWidth="1"/>
    <col min="5" max="5" width="8.5546875" customWidth="1"/>
    <col min="6" max="6" width="16.88671875" customWidth="1"/>
  </cols>
  <sheetData>
    <row r="1" spans="1:6" ht="18" x14ac:dyDescent="0.35">
      <c r="A1" s="73" t="s">
        <v>119</v>
      </c>
    </row>
    <row r="2" spans="1:6" ht="15" thickBot="1" x14ac:dyDescent="0.35"/>
    <row r="3" spans="1:6" ht="15" thickBot="1" x14ac:dyDescent="0.35">
      <c r="B3" s="80" t="s">
        <v>118</v>
      </c>
      <c r="C3" s="81" t="s">
        <v>127</v>
      </c>
      <c r="D3" s="82">
        <f>MATCH(C3,'AE Tables'!$C$7:$E$7,0)+1</f>
        <v>3</v>
      </c>
      <c r="E3" s="83"/>
    </row>
    <row r="4" spans="1:6" x14ac:dyDescent="0.3">
      <c r="A4" s="92" t="s">
        <v>120</v>
      </c>
      <c r="B4" s="87" t="s">
        <v>110</v>
      </c>
      <c r="C4" s="87" t="s">
        <v>136</v>
      </c>
      <c r="D4" s="75" t="s">
        <v>115</v>
      </c>
      <c r="E4" s="75" t="s">
        <v>90</v>
      </c>
      <c r="F4" s="84" t="s">
        <v>116</v>
      </c>
    </row>
    <row r="5" spans="1:6" ht="15" thickBot="1" x14ac:dyDescent="0.35">
      <c r="A5" s="93"/>
      <c r="B5" s="88"/>
      <c r="C5" s="145" t="s">
        <v>168</v>
      </c>
      <c r="D5" s="85"/>
      <c r="E5" s="85"/>
      <c r="F5" s="86" t="s">
        <v>117</v>
      </c>
    </row>
    <row r="6" spans="1:6" x14ac:dyDescent="0.3">
      <c r="A6" s="94" t="s">
        <v>91</v>
      </c>
      <c r="B6" s="89" t="s">
        <v>159</v>
      </c>
      <c r="C6" s="151"/>
      <c r="D6" s="79">
        <v>25</v>
      </c>
      <c r="E6" s="153">
        <f>IF(D6&gt;0,VLOOKUP(B6,'AE Tables'!$B$8:$E$17,$D$3,FALSE)," ")</f>
        <v>0.68055430137232242</v>
      </c>
      <c r="F6" s="155">
        <f>IF(D6&gt;0,D6*E6," ")</f>
        <v>17.013857534308059</v>
      </c>
    </row>
    <row r="7" spans="1:6" x14ac:dyDescent="0.3">
      <c r="A7" s="93"/>
      <c r="B7" s="90" t="s">
        <v>92</v>
      </c>
      <c r="C7" s="152"/>
      <c r="D7" s="79"/>
      <c r="E7" s="153" t="str">
        <f>IF(D7&gt;0,VLOOKUP(B7,'AE Tables'!$B$8:$E$17,$D$3,FALSE)," ")</f>
        <v xml:space="preserve"> </v>
      </c>
      <c r="F7" s="155" t="str">
        <f t="shared" ref="F7:F15" si="0">IF(D7&gt;0,D7*E7," ")</f>
        <v xml:space="preserve"> </v>
      </c>
    </row>
    <row r="8" spans="1:6" x14ac:dyDescent="0.3">
      <c r="A8" s="93"/>
      <c r="B8" s="90" t="s">
        <v>93</v>
      </c>
      <c r="C8" s="152"/>
      <c r="D8" s="79"/>
      <c r="E8" s="153" t="str">
        <f>IF(D8&gt;0,VLOOKUP(B8,'AE Tables'!$B$8:$E$17,$D$3,FALSE)," ")</f>
        <v xml:space="preserve"> </v>
      </c>
      <c r="F8" s="155" t="str">
        <f t="shared" si="0"/>
        <v xml:space="preserve"> </v>
      </c>
    </row>
    <row r="9" spans="1:6" x14ac:dyDescent="0.3">
      <c r="A9" s="93"/>
      <c r="B9" s="90" t="s">
        <v>94</v>
      </c>
      <c r="C9" s="152"/>
      <c r="D9" s="79"/>
      <c r="E9" s="153" t="str">
        <f>IF(D9&gt;0,VLOOKUP(B9,'AE Tables'!$B$8:$E$17,$D$3,FALSE)," ")</f>
        <v xml:space="preserve"> </v>
      </c>
      <c r="F9" s="155" t="str">
        <f t="shared" si="0"/>
        <v xml:space="preserve"> </v>
      </c>
    </row>
    <row r="10" spans="1:6" x14ac:dyDescent="0.3">
      <c r="A10" s="93"/>
      <c r="B10" s="90" t="s">
        <v>95</v>
      </c>
      <c r="C10" s="152"/>
      <c r="D10" s="79"/>
      <c r="E10" s="153" t="str">
        <f>IF(D10&gt;0,VLOOKUP(B10,'AE Tables'!$B$8:$E$17,$D$3,FALSE)," ")</f>
        <v xml:space="preserve"> </v>
      </c>
      <c r="F10" s="155" t="str">
        <f t="shared" si="0"/>
        <v xml:space="preserve"> </v>
      </c>
    </row>
    <row r="11" spans="1:6" x14ac:dyDescent="0.3">
      <c r="A11" s="93"/>
      <c r="B11" s="90" t="s">
        <v>96</v>
      </c>
      <c r="C11" s="152"/>
      <c r="D11" s="79"/>
      <c r="E11" s="153" t="str">
        <f>IF(D11&gt;0,VLOOKUP(B11,'AE Tables'!$B$8:$E$17,$D$3,FALSE)," ")</f>
        <v xml:space="preserve"> </v>
      </c>
      <c r="F11" s="155" t="str">
        <f t="shared" si="0"/>
        <v xml:space="preserve"> </v>
      </c>
    </row>
    <row r="12" spans="1:6" x14ac:dyDescent="0.3">
      <c r="A12" s="93"/>
      <c r="B12" s="90" t="s">
        <v>97</v>
      </c>
      <c r="C12" s="152"/>
      <c r="D12" s="79"/>
      <c r="E12" s="153" t="str">
        <f>IF(D12&gt;0,VLOOKUP(B12,'AE Tables'!$B$8:$E$17,$D$3,FALSE)," ")</f>
        <v xml:space="preserve"> </v>
      </c>
      <c r="F12" s="155" t="str">
        <f t="shared" si="0"/>
        <v xml:space="preserve"> </v>
      </c>
    </row>
    <row r="13" spans="1:6" x14ac:dyDescent="0.3">
      <c r="A13" s="93"/>
      <c r="B13" s="90" t="s">
        <v>98</v>
      </c>
      <c r="C13" s="152"/>
      <c r="D13" s="79"/>
      <c r="E13" s="153" t="str">
        <f>IF(D13&gt;0,VLOOKUP(B13,'AE Tables'!$B$8:$E$17,$D$3,FALSE)," ")</f>
        <v xml:space="preserve"> </v>
      </c>
      <c r="F13" s="155" t="str">
        <f t="shared" si="0"/>
        <v xml:space="preserve"> </v>
      </c>
    </row>
    <row r="14" spans="1:6" x14ac:dyDescent="0.3">
      <c r="A14" s="93"/>
      <c r="B14" s="90" t="s">
        <v>130</v>
      </c>
      <c r="C14" s="152"/>
      <c r="D14" s="79"/>
      <c r="E14" s="153" t="str">
        <f>IF(D14&gt;0,VLOOKUP(B14,'AE Tables'!$B$8:$E$17,$D$3,FALSE)," ")</f>
        <v xml:space="preserve"> </v>
      </c>
      <c r="F14" s="155" t="str">
        <f t="shared" si="0"/>
        <v xml:space="preserve"> </v>
      </c>
    </row>
    <row r="15" spans="1:6" x14ac:dyDescent="0.3">
      <c r="A15" s="95"/>
      <c r="B15" s="90" t="s">
        <v>131</v>
      </c>
      <c r="C15" s="152"/>
      <c r="D15" s="79"/>
      <c r="E15" s="153" t="str">
        <f>IF(D15&gt;0,VLOOKUP(B15,'AE Tables'!$B$8:$E$17,$D$3,FALSE)," ")</f>
        <v xml:space="preserve"> </v>
      </c>
      <c r="F15" s="155" t="str">
        <f t="shared" si="0"/>
        <v xml:space="preserve"> </v>
      </c>
    </row>
    <row r="16" spans="1:6" x14ac:dyDescent="0.3">
      <c r="A16" s="93"/>
      <c r="B16" s="90"/>
      <c r="C16" s="90"/>
      <c r="D16" s="76"/>
      <c r="E16" s="74"/>
      <c r="F16" s="74"/>
    </row>
    <row r="17" spans="1:7" x14ac:dyDescent="0.3">
      <c r="A17" s="146" t="s">
        <v>112</v>
      </c>
      <c r="B17" s="74" t="s">
        <v>170</v>
      </c>
      <c r="C17" s="156" t="s">
        <v>137</v>
      </c>
      <c r="D17" s="76">
        <v>25</v>
      </c>
      <c r="E17" s="154">
        <f>IF(D17&gt;0,VLOOKUP(B17,'AE Tables'!$B$25:$E$33,G17,FALSE)," ")</f>
        <v>0.14611973551995833</v>
      </c>
      <c r="F17" s="130">
        <f>IF(D17&gt;0,D17*E17," ")</f>
        <v>3.6529933879989582</v>
      </c>
      <c r="G17">
        <f>IF(D17&gt;0,(MATCH(C17,'AE Tables'!$C$24:$E$24,0)+1)," ")</f>
        <v>3</v>
      </c>
    </row>
    <row r="18" spans="1:7" x14ac:dyDescent="0.3">
      <c r="A18" s="147"/>
      <c r="B18" s="74" t="s">
        <v>139</v>
      </c>
      <c r="C18" s="156" t="s">
        <v>99</v>
      </c>
      <c r="D18" s="76">
        <v>25</v>
      </c>
      <c r="E18" s="154">
        <f>IF(D18&gt;0,VLOOKUP(B18,'AE Tables'!$B$25:$E$33,G18,FALSE)," ")</f>
        <v>0.17724586051512936</v>
      </c>
      <c r="F18" s="130">
        <f t="shared" ref="F18:F25" si="1">IF(D18&gt;0,D18*E18," ")</f>
        <v>4.4311465128782341</v>
      </c>
      <c r="G18">
        <f>IF(D18&gt;0,(MATCH(C18,'AE Tables'!$C$24:$E$24,0)+1)," ")</f>
        <v>4</v>
      </c>
    </row>
    <row r="19" spans="1:7" x14ac:dyDescent="0.3">
      <c r="A19" s="147"/>
      <c r="B19" s="74" t="s">
        <v>140</v>
      </c>
      <c r="C19" s="156" t="s">
        <v>137</v>
      </c>
      <c r="D19" s="76">
        <v>40</v>
      </c>
      <c r="E19" s="154">
        <f>IF(D19&gt;0,VLOOKUP(B19,'AE Tables'!$B$25:$E$33,G19,FALSE)," ")</f>
        <v>0.21899019074862536</v>
      </c>
      <c r="F19" s="130">
        <f t="shared" si="1"/>
        <v>8.7596076299450143</v>
      </c>
      <c r="G19">
        <f>IF(D19&gt;0,(MATCH(C19,'AE Tables'!$C$24:$E$24,0)+1)," ")</f>
        <v>3</v>
      </c>
    </row>
    <row r="20" spans="1:7" x14ac:dyDescent="0.3">
      <c r="A20" s="147"/>
      <c r="B20" s="74" t="s">
        <v>141</v>
      </c>
      <c r="C20" s="156"/>
      <c r="D20" s="76"/>
      <c r="E20" s="154" t="str">
        <f>IF(D20&gt;0,VLOOKUP(B20,'AE Tables'!$B$25:$E$33,G20,FALSE)," ")</f>
        <v xml:space="preserve"> </v>
      </c>
      <c r="F20" s="130" t="str">
        <f t="shared" si="1"/>
        <v xml:space="preserve"> </v>
      </c>
      <c r="G20" t="str">
        <f>IF(D20&gt;0,(MATCH(C20,'AE Tables'!$C$24:$E$24,0)+1)," ")</f>
        <v xml:space="preserve"> </v>
      </c>
    </row>
    <row r="21" spans="1:7" x14ac:dyDescent="0.3">
      <c r="A21" s="148"/>
      <c r="B21" s="74" t="s">
        <v>171</v>
      </c>
      <c r="C21" s="156"/>
      <c r="D21" s="76"/>
      <c r="E21" s="154" t="str">
        <f>IF(D21&gt;0,VLOOKUP(B21,'AE Tables'!$B$25:$E$33,G21,FALSE)," ")</f>
        <v xml:space="preserve"> </v>
      </c>
      <c r="F21" s="130" t="str">
        <f t="shared" si="1"/>
        <v xml:space="preserve"> </v>
      </c>
      <c r="G21" t="str">
        <f>IF(D21&gt;0,(MATCH(C21,'AE Tables'!$C$24:$E$24,0)+1)," ")</f>
        <v xml:space="preserve"> </v>
      </c>
    </row>
    <row r="22" spans="1:7" x14ac:dyDescent="0.3">
      <c r="A22" s="147"/>
      <c r="B22" s="74" t="s">
        <v>143</v>
      </c>
      <c r="C22" s="156"/>
      <c r="D22" s="76"/>
      <c r="E22" s="154" t="str">
        <f>IF(D22&gt;0,VLOOKUP(B22,'AE Tables'!$B$25:$E$33,G22,FALSE)," ")</f>
        <v xml:space="preserve"> </v>
      </c>
      <c r="F22" s="130" t="str">
        <f t="shared" si="1"/>
        <v xml:space="preserve"> </v>
      </c>
      <c r="G22" t="str">
        <f>IF(D22&gt;0,(MATCH(C22,'AE Tables'!$C$24:$E$24,0)+1)," ")</f>
        <v xml:space="preserve"> </v>
      </c>
    </row>
    <row r="23" spans="1:7" x14ac:dyDescent="0.3">
      <c r="A23" s="147"/>
      <c r="B23" s="74" t="s">
        <v>144</v>
      </c>
      <c r="C23" s="156"/>
      <c r="D23" s="76"/>
      <c r="E23" s="154" t="str">
        <f>IF(D23&gt;0,VLOOKUP(B23,'AE Tables'!$B$25:$E$33,G23,FALSE)," ")</f>
        <v xml:space="preserve"> </v>
      </c>
      <c r="F23" s="130" t="str">
        <f t="shared" si="1"/>
        <v xml:space="preserve"> </v>
      </c>
      <c r="G23" t="str">
        <f>IF(D23&gt;0,(MATCH(C23,'AE Tables'!$C$24:$E$24,0)+1)," ")</f>
        <v xml:space="preserve"> </v>
      </c>
    </row>
    <row r="24" spans="1:7" x14ac:dyDescent="0.3">
      <c r="A24" s="147"/>
      <c r="B24" s="74" t="s">
        <v>145</v>
      </c>
      <c r="C24" s="156"/>
      <c r="D24" s="76"/>
      <c r="E24" s="154" t="str">
        <f>IF(D24&gt;0,VLOOKUP(B24,'AE Tables'!$B$25:$E$33,G24,FALSE)," ")</f>
        <v xml:space="preserve"> </v>
      </c>
      <c r="F24" s="130" t="str">
        <f t="shared" si="1"/>
        <v xml:space="preserve"> </v>
      </c>
      <c r="G24" t="str">
        <f>IF(D24&gt;0,(MATCH(C24,'AE Tables'!$C$24:$E$24,0)+1)," ")</f>
        <v xml:space="preserve"> </v>
      </c>
    </row>
    <row r="25" spans="1:7" x14ac:dyDescent="0.3">
      <c r="A25" s="147"/>
      <c r="B25" s="74" t="s">
        <v>146</v>
      </c>
      <c r="C25" s="156"/>
      <c r="D25" s="76"/>
      <c r="E25" s="154" t="str">
        <f>IF(D25&gt;0,VLOOKUP(B25,'AE Tables'!$B$25:$E$33,G25,FALSE)," ")</f>
        <v xml:space="preserve"> </v>
      </c>
      <c r="F25" s="130" t="str">
        <f t="shared" si="1"/>
        <v xml:space="preserve"> </v>
      </c>
      <c r="G25" t="str">
        <f>IF(D25&gt;0,(MATCH(C25,'AE Tables'!$C$24:$E$24,0)+1)," ")</f>
        <v xml:space="preserve"> </v>
      </c>
    </row>
    <row r="26" spans="1:7" x14ac:dyDescent="0.3">
      <c r="A26" s="74"/>
      <c r="C26" s="90"/>
      <c r="D26" s="76"/>
      <c r="E26" s="74"/>
      <c r="F26" s="74"/>
    </row>
    <row r="27" spans="1:7" ht="16.2" x14ac:dyDescent="0.3">
      <c r="A27" s="126" t="s">
        <v>169</v>
      </c>
      <c r="B27" s="74" t="s">
        <v>150</v>
      </c>
      <c r="C27" s="90"/>
      <c r="D27" s="76"/>
      <c r="E27" s="74"/>
      <c r="F27" s="74"/>
    </row>
    <row r="28" spans="1:7" x14ac:dyDescent="0.3">
      <c r="A28" s="104"/>
      <c r="B28" s="74" t="s">
        <v>151</v>
      </c>
      <c r="C28" s="90"/>
      <c r="D28" s="76"/>
      <c r="E28" s="74"/>
      <c r="F28" s="74"/>
    </row>
    <row r="29" spans="1:7" x14ac:dyDescent="0.3">
      <c r="A29" s="104"/>
      <c r="B29" s="74" t="s">
        <v>152</v>
      </c>
      <c r="C29" s="90"/>
      <c r="D29" s="76"/>
      <c r="E29" s="74"/>
      <c r="F29" s="74"/>
    </row>
    <row r="30" spans="1:7" x14ac:dyDescent="0.3">
      <c r="A30" s="104"/>
      <c r="B30" s="74" t="s">
        <v>153</v>
      </c>
      <c r="C30" s="90"/>
      <c r="D30" s="76"/>
      <c r="E30" s="74"/>
      <c r="F30" s="74"/>
    </row>
    <row r="31" spans="1:7" ht="16.2" x14ac:dyDescent="0.3">
      <c r="A31" s="104"/>
      <c r="B31" s="74" t="s">
        <v>154</v>
      </c>
      <c r="C31" s="90"/>
      <c r="D31" s="76"/>
      <c r="E31" s="74"/>
      <c r="F31" s="74"/>
    </row>
    <row r="32" spans="1:7" x14ac:dyDescent="0.3">
      <c r="A32" s="104"/>
      <c r="B32" s="74" t="s">
        <v>143</v>
      </c>
      <c r="C32" s="90"/>
      <c r="D32" s="76"/>
      <c r="E32" s="74"/>
      <c r="F32" s="74"/>
    </row>
    <row r="33" spans="1:6" x14ac:dyDescent="0.3">
      <c r="A33" s="104"/>
      <c r="B33" s="74" t="s">
        <v>144</v>
      </c>
      <c r="C33" s="90"/>
      <c r="D33" s="76"/>
      <c r="E33" s="74"/>
      <c r="F33" s="74"/>
    </row>
    <row r="34" spans="1:6" x14ac:dyDescent="0.3">
      <c r="A34" s="104"/>
      <c r="B34" s="74" t="s">
        <v>155</v>
      </c>
      <c r="C34" s="90"/>
      <c r="D34" s="76"/>
      <c r="E34" s="74"/>
      <c r="F34" s="74"/>
    </row>
    <row r="35" spans="1:6" x14ac:dyDescent="0.3">
      <c r="A35" s="126" t="s">
        <v>121</v>
      </c>
      <c r="B35" s="90"/>
      <c r="C35" s="90"/>
      <c r="D35" s="76"/>
      <c r="E35" s="74"/>
      <c r="F35" s="74"/>
    </row>
    <row r="36" spans="1:6" x14ac:dyDescent="0.3">
      <c r="A36" s="104"/>
      <c r="B36" s="90" t="s">
        <v>101</v>
      </c>
      <c r="C36" s="90"/>
      <c r="D36" s="76"/>
      <c r="E36" s="74"/>
      <c r="F36" s="74"/>
    </row>
    <row r="37" spans="1:6" x14ac:dyDescent="0.3">
      <c r="A37" s="104"/>
      <c r="B37" s="90" t="s">
        <v>102</v>
      </c>
      <c r="C37" s="90"/>
      <c r="D37" s="76"/>
      <c r="E37" s="74"/>
      <c r="F37" s="74"/>
    </row>
    <row r="38" spans="1:6" x14ac:dyDescent="0.3">
      <c r="A38" s="104"/>
      <c r="B38" s="90" t="s">
        <v>103</v>
      </c>
      <c r="C38" s="90"/>
      <c r="D38" s="76"/>
      <c r="E38" s="74"/>
      <c r="F38" s="74"/>
    </row>
    <row r="39" spans="1:6" x14ac:dyDescent="0.3">
      <c r="A39" s="104"/>
      <c r="B39" s="90" t="s">
        <v>104</v>
      </c>
      <c r="C39" s="90"/>
      <c r="D39" s="76"/>
      <c r="E39" s="74"/>
      <c r="F39" s="74"/>
    </row>
    <row r="40" spans="1:6" x14ac:dyDescent="0.3">
      <c r="A40" s="77"/>
      <c r="B40" s="91"/>
      <c r="C40" s="91"/>
      <c r="D40" s="78"/>
      <c r="E40" s="78"/>
      <c r="F40" s="78"/>
    </row>
    <row r="41" spans="1:6" x14ac:dyDescent="0.3">
      <c r="B41" s="75" t="s">
        <v>122</v>
      </c>
      <c r="C41" s="75"/>
      <c r="D41" s="75" t="b">
        <f>IF(SUM(D6:D39)&gt;0,SUM(D6:D39)&gt;0," ")</f>
        <v>1</v>
      </c>
      <c r="E41" s="74"/>
      <c r="F41" s="149" t="b">
        <f>IF(SUM(F6:F39)&gt;0,SUM(F6:F39)&gt;0," ")</f>
        <v>1</v>
      </c>
    </row>
    <row r="43" spans="1:6" ht="16.2" x14ac:dyDescent="0.3">
      <c r="B43" t="s">
        <v>133</v>
      </c>
    </row>
    <row r="44" spans="1:6" x14ac:dyDescent="0.3">
      <c r="B44" t="s">
        <v>161</v>
      </c>
    </row>
    <row r="45" spans="1:6" ht="16.2" x14ac:dyDescent="0.3">
      <c r="B45" t="s">
        <v>156</v>
      </c>
    </row>
  </sheetData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FDC7FA3-6A37-4834-B7BE-0F7FBFD47FC7}">
          <x14:formula1>
            <xm:f>'AE Tables'!$B$7:$E$7</xm:f>
          </x14:formula1>
          <xm:sqref>C3</xm:sqref>
        </x14:dataValidation>
        <x14:dataValidation type="list" allowBlank="1" showInputMessage="1" showErrorMessage="1" xr:uid="{8A4B93FC-7A1C-4F6B-A1AB-AEAA90AAE2AE}">
          <x14:formula1>
            <xm:f>'AE Tables'!$C$24:$E$24</xm:f>
          </x14:formula1>
          <xm:sqref>C17:C25</xm:sqref>
        </x14:dataValidation>
        <x14:dataValidation type="list" allowBlank="1" showInputMessage="1" showErrorMessage="1" xr:uid="{97F094BA-C254-4F65-9FCA-065B9ADF8856}">
          <x14:formula1>
            <xm:f>'AE Tables'!$C$36:$E$36</xm:f>
          </x14:formula1>
          <xm:sqref>C27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L14"/>
  <sheetViews>
    <sheetView zoomScale="120" zoomScaleNormal="120" workbookViewId="0">
      <selection activeCell="D11" sqref="D11"/>
    </sheetView>
  </sheetViews>
  <sheetFormatPr defaultRowHeight="14.4" x14ac:dyDescent="0.3"/>
  <cols>
    <col min="1" max="1" width="17.33203125" customWidth="1"/>
    <col min="4" max="4" width="12.109375" customWidth="1"/>
    <col min="5" max="5" width="12.88671875" customWidth="1"/>
    <col min="6" max="6" width="13.44140625" customWidth="1"/>
  </cols>
  <sheetData>
    <row r="1" spans="1:12" ht="17.399999999999999" x14ac:dyDescent="0.3">
      <c r="A1" s="46" t="s">
        <v>49</v>
      </c>
      <c r="B1" s="47"/>
      <c r="C1" s="47"/>
      <c r="D1" s="47"/>
      <c r="E1" s="47"/>
      <c r="F1" s="47"/>
      <c r="G1" s="47"/>
      <c r="H1" s="47"/>
      <c r="I1" s="47"/>
      <c r="J1" s="47"/>
    </row>
    <row r="2" spans="1:12" x14ac:dyDescent="0.3">
      <c r="A2" s="47"/>
      <c r="B2" s="47"/>
      <c r="C2" s="47"/>
      <c r="D2" s="47"/>
      <c r="E2" s="47"/>
      <c r="F2" s="47"/>
      <c r="G2" s="47"/>
      <c r="H2" s="47"/>
      <c r="I2" s="47"/>
      <c r="J2" s="47"/>
    </row>
    <row r="3" spans="1:12" x14ac:dyDescent="0.3">
      <c r="A3" s="48" t="s">
        <v>50</v>
      </c>
      <c r="B3" s="159" t="s">
        <v>59</v>
      </c>
      <c r="C3" s="159"/>
      <c r="D3" s="47"/>
      <c r="E3" s="47"/>
      <c r="F3" s="47"/>
      <c r="G3" s="47"/>
      <c r="H3" s="47"/>
      <c r="I3" s="47"/>
      <c r="J3" s="47"/>
    </row>
    <row r="4" spans="1:12" ht="15" customHeight="1" x14ac:dyDescent="0.3">
      <c r="A4" s="48" t="s">
        <v>51</v>
      </c>
      <c r="B4" s="160">
        <v>1141</v>
      </c>
      <c r="C4" s="160"/>
      <c r="D4" s="47"/>
      <c r="E4" s="47"/>
      <c r="F4" s="47"/>
      <c r="G4" s="47"/>
      <c r="H4" s="47"/>
      <c r="I4" s="47"/>
      <c r="J4" s="47"/>
    </row>
    <row r="5" spans="1:12" x14ac:dyDescent="0.3">
      <c r="A5" s="49"/>
      <c r="B5" s="47"/>
      <c r="C5" s="47"/>
      <c r="D5" s="47"/>
      <c r="E5" s="47"/>
      <c r="F5" s="47"/>
      <c r="G5" s="47"/>
      <c r="H5" s="47"/>
      <c r="I5" s="47"/>
      <c r="J5" s="47"/>
    </row>
    <row r="6" spans="1:12" ht="93" x14ac:dyDescent="0.3">
      <c r="A6" s="50"/>
      <c r="B6" s="51" t="s">
        <v>52</v>
      </c>
      <c r="C6" s="51" t="s">
        <v>53</v>
      </c>
      <c r="D6" s="51" t="s">
        <v>54</v>
      </c>
      <c r="E6" s="51" t="s">
        <v>60</v>
      </c>
      <c r="F6" s="51" t="s">
        <v>29</v>
      </c>
      <c r="G6" s="51" t="s">
        <v>61</v>
      </c>
      <c r="H6" s="51" t="s">
        <v>62</v>
      </c>
      <c r="I6" s="51" t="s">
        <v>55</v>
      </c>
      <c r="J6" s="47"/>
    </row>
    <row r="7" spans="1:12" x14ac:dyDescent="0.3">
      <c r="A7" s="59" t="s">
        <v>63</v>
      </c>
      <c r="B7" s="58">
        <v>218</v>
      </c>
      <c r="C7" s="60">
        <v>0.19106000000000001</v>
      </c>
      <c r="D7" s="58">
        <v>1300</v>
      </c>
      <c r="E7" s="60">
        <v>0</v>
      </c>
      <c r="F7" s="61">
        <f>(D7*C7)-(C7*D7*E7)</f>
        <v>248.37800000000001</v>
      </c>
      <c r="G7" s="60">
        <v>0</v>
      </c>
      <c r="H7" s="61">
        <f>F7*G7</f>
        <v>0</v>
      </c>
      <c r="I7" s="52">
        <f>F7-(F7*G7)</f>
        <v>248.37800000000001</v>
      </c>
      <c r="J7" s="47"/>
      <c r="K7" t="s">
        <v>86</v>
      </c>
      <c r="L7">
        <f>379/1141</f>
        <v>0.33216476774758985</v>
      </c>
    </row>
    <row r="8" spans="1:12" x14ac:dyDescent="0.3">
      <c r="A8" s="59" t="s">
        <v>64</v>
      </c>
      <c r="B8" s="58">
        <v>219</v>
      </c>
      <c r="C8" s="60">
        <v>0.19194</v>
      </c>
      <c r="D8" s="58">
        <v>300</v>
      </c>
      <c r="E8" s="60">
        <v>0</v>
      </c>
      <c r="F8" s="61">
        <f t="shared" ref="F8:F11" si="0">(D8*C8)-(C8*D8*E8)</f>
        <v>57.582000000000001</v>
      </c>
      <c r="G8" s="60">
        <v>0</v>
      </c>
      <c r="H8" s="61">
        <f t="shared" ref="H8:H11" si="1">F8*G8</f>
        <v>0</v>
      </c>
      <c r="I8" s="52">
        <f t="shared" ref="I8:I11" si="2">F8-(F8*G8)</f>
        <v>57.582000000000001</v>
      </c>
      <c r="J8" s="47"/>
      <c r="K8" t="s">
        <v>87</v>
      </c>
    </row>
    <row r="9" spans="1:12" x14ac:dyDescent="0.3">
      <c r="A9" s="59" t="s">
        <v>65</v>
      </c>
      <c r="B9" s="58">
        <v>325</v>
      </c>
      <c r="C9" s="60">
        <v>0.2848</v>
      </c>
      <c r="D9" s="58">
        <v>636</v>
      </c>
      <c r="E9" s="60">
        <v>0</v>
      </c>
      <c r="F9" s="61">
        <f t="shared" si="0"/>
        <v>181.1328</v>
      </c>
      <c r="G9" s="60">
        <v>0</v>
      </c>
      <c r="H9" s="61">
        <f t="shared" si="1"/>
        <v>0</v>
      </c>
      <c r="I9" s="52">
        <f t="shared" si="2"/>
        <v>181.1328</v>
      </c>
      <c r="J9" s="47"/>
      <c r="K9" t="s">
        <v>88</v>
      </c>
    </row>
    <row r="10" spans="1:12" x14ac:dyDescent="0.3">
      <c r="A10" s="59" t="s">
        <v>57</v>
      </c>
      <c r="B10" s="58">
        <v>379</v>
      </c>
      <c r="C10" s="60">
        <v>0.3322</v>
      </c>
      <c r="D10" s="58">
        <v>600</v>
      </c>
      <c r="E10" s="60">
        <v>0</v>
      </c>
      <c r="F10" s="61">
        <f t="shared" si="0"/>
        <v>199.32</v>
      </c>
      <c r="G10" s="60">
        <v>0</v>
      </c>
      <c r="H10" s="61">
        <f t="shared" si="1"/>
        <v>0</v>
      </c>
      <c r="I10" s="52">
        <f t="shared" si="2"/>
        <v>199.32</v>
      </c>
      <c r="J10" s="47"/>
      <c r="K10" t="s">
        <v>89</v>
      </c>
    </row>
    <row r="11" spans="1:12" ht="15" customHeight="1" x14ac:dyDescent="0.3">
      <c r="A11" s="59" t="s">
        <v>58</v>
      </c>
      <c r="B11" s="58"/>
      <c r="C11" s="60">
        <v>0</v>
      </c>
      <c r="D11" s="58">
        <v>0</v>
      </c>
      <c r="E11" s="60">
        <v>0</v>
      </c>
      <c r="F11" s="61">
        <f t="shared" si="0"/>
        <v>0</v>
      </c>
      <c r="G11" s="60">
        <v>0</v>
      </c>
      <c r="H11" s="61">
        <f t="shared" si="1"/>
        <v>0</v>
      </c>
      <c r="I11" s="52">
        <f t="shared" si="2"/>
        <v>0</v>
      </c>
      <c r="J11" s="47"/>
    </row>
    <row r="12" spans="1:12" x14ac:dyDescent="0.3">
      <c r="A12" s="53"/>
      <c r="B12" s="54"/>
      <c r="C12" s="54"/>
      <c r="D12" s="54"/>
      <c r="E12" s="54"/>
      <c r="F12" s="54"/>
      <c r="G12" s="54"/>
      <c r="H12" s="54"/>
      <c r="I12" s="55"/>
      <c r="J12" s="47"/>
    </row>
    <row r="13" spans="1:12" ht="53.4" x14ac:dyDescent="0.3">
      <c r="A13" s="51" t="s">
        <v>56</v>
      </c>
      <c r="B13" s="56">
        <f>SUM(B7:B11)</f>
        <v>1141</v>
      </c>
      <c r="C13" s="62">
        <f>SUM(C7:C11)</f>
        <v>1</v>
      </c>
      <c r="D13" s="57"/>
      <c r="E13" s="161" t="s">
        <v>66</v>
      </c>
      <c r="F13" s="162"/>
      <c r="G13" s="163"/>
      <c r="H13" s="63">
        <f>SUM(H7:H11)</f>
        <v>0</v>
      </c>
      <c r="I13" s="64">
        <f>SUM(I7:I11)</f>
        <v>686.41280000000006</v>
      </c>
      <c r="J13" s="47"/>
    </row>
    <row r="14" spans="1:12" x14ac:dyDescent="0.3">
      <c r="A14" s="47"/>
      <c r="B14" s="47"/>
      <c r="C14" s="47"/>
      <c r="D14" s="47"/>
      <c r="E14" s="47"/>
      <c r="F14" s="47"/>
      <c r="G14" s="47"/>
      <c r="H14" s="47"/>
      <c r="I14" s="47"/>
      <c r="J14" s="47"/>
    </row>
  </sheetData>
  <mergeCells count="3">
    <mergeCell ref="B3:C3"/>
    <mergeCell ref="B4:C4"/>
    <mergeCell ref="E13:G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Simple FB for GLM</vt:lpstr>
      <vt:lpstr>AE Tables</vt:lpstr>
      <vt:lpstr>DSE Tables</vt:lpstr>
      <vt:lpstr>Numbers to AEs Conversion</vt:lpstr>
      <vt:lpstr>Accessible Yield Calc</vt:lpstr>
      <vt:lpstr>'Simple FB for GLM'!Print_Area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 &amp; Liz Paton</dc:creator>
  <cp:lastModifiedBy>Colin Paton</cp:lastModifiedBy>
  <cp:lastPrinted>2017-03-12T19:17:08Z</cp:lastPrinted>
  <dcterms:created xsi:type="dcterms:W3CDTF">2014-12-06T01:39:30Z</dcterms:created>
  <dcterms:modified xsi:type="dcterms:W3CDTF">2024-03-18T21:19:08Z</dcterms:modified>
</cp:coreProperties>
</file>